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Maringá" sheetId="4" state="visible" r:id="rId6"/>
    <sheet name="Desl. Base Maringá" sheetId="5" state="visible" r:id="rId7"/>
    <sheet name="Base Cascavel" sheetId="6" state="visible" r:id="rId8"/>
    <sheet name="Desl. Base Cascavel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5" name="_xlnm.Print_Area" vbProcedure="false">'Base Cascavel'!$B$2:$AW$26</definedName>
    <definedName function="false" hidden="false" localSheetId="3" name="_xlnm.Print_Area" vbProcedure="false">'Base Maringá'!$B$2:$AW$24</definedName>
    <definedName function="false" hidden="false" localSheetId="13" name="_xlnm.Print_Area" vbProcedure="false">BDI!$B$1:$J$44</definedName>
    <definedName function="false" hidden="false" localSheetId="6" name="_xlnm.Print_Area" vbProcedure="false">'Desl. Base Cascavel'!$B$2:$M$54</definedName>
    <definedName function="false" hidden="false" localSheetId="4" name="_xlnm.Print_Area" vbProcedure="false">'Desl. Base Maringá'!$B$2:$M$33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Unidades!$B$2:$H$19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<sst xmlns="http://schemas.openxmlformats.org/spreadsheetml/2006/main" count="827" uniqueCount="330">
  <si>
    <t xml:space="preserve">ANEXO I – B1</t>
  </si>
  <si>
    <t xml:space="preserve">PLANILHA DETALHADA DE FORMAÇÃO DE PREÇO</t>
  </si>
  <si>
    <t xml:space="preserve">POLO I</t>
  </si>
  <si>
    <t xml:space="preserve">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</si>
  <si>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</si>
  <si>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</si>
  <si>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</si>
  <si>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</si>
  <si>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</si>
  <si>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</si>
  <si>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I.</t>
  </si>
  <si>
    <t xml:space="preserve">Mês</t>
  </si>
  <si>
    <t xml:space="preserve">VALOR TOTAL DO ITEM 1: R$ 1.485.921,72 (um milhão, quatrocentos e oitenta e cinco mil, novecentos e vinte e um reais e setenta e dois centavos)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</si>
  <si>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</si>
  <si>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</si>
  <si>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</si>
  <si>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</si>
  <si>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</si>
  <si>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</si>
  <si>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</si>
  <si>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</si>
  <si>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MARINGÁ</t>
  </si>
  <si>
    <t xml:space="preserve">CASCAVEL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</si>
  <si>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</si>
  <si>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</si>
  <si>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</si>
  <si>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</si>
  <si>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</si>
  <si>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</si>
  <si>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</si>
  <si>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</si>
  <si>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</si>
  <si>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</si>
  <si>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</si>
  <si>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</si>
  <si>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</si>
  <si>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</si>
  <si>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Outubro/2023 (Desonerado)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</si>
  <si>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</si>
  <si>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</si>
  <si>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</si>
  <si>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</si>
  <si>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</si>
  <si>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</si>
  <si>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</si>
  <si>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</si>
  <si>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</si>
  <si>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</si>
  <si>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</si>
  <si>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</si>
  <si>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</si>
  <si>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</si>
  <si>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</si>
  <si>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</si>
  <si>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</si>
  <si>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</si>
  <si>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</si>
  <si>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</si>
  <si>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</si>
  <si>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</si>
  <si>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</si>
  <si>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</si>
  <si>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</si>
  <si>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</si>
  <si>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</si>
  <si>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</si>
  <si>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</si>
  <si>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</si>
  <si>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</si>
  <si>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</si>
  <si>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Mensal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</si>
  <si>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</si>
  <si>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</si>
  <si>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</si>
  <si>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</si>
  <si>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</si>
  <si>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</si>
  <si>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</si>
  <si>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</si>
  <si>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</si>
  <si>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</si>
  <si>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ASTORGA</t>
  </si>
  <si>
    <t xml:space="preserve">Custo por tipo de rotina</t>
  </si>
  <si>
    <t xml:space="preserve">APS CAMPO MOURÃO</t>
  </si>
  <si>
    <t xml:space="preserve">Custo Anual por tipo de rotina</t>
  </si>
  <si>
    <t xml:space="preserve">APS CIANORTE</t>
  </si>
  <si>
    <t xml:space="preserve">APS COLORADO</t>
  </si>
  <si>
    <t xml:space="preserve">APS CRUZEIRO DO OESTE</t>
  </si>
  <si>
    <t xml:space="preserve">Custo Anual Preventiva</t>
  </si>
  <si>
    <t xml:space="preserve">APS LOANDA</t>
  </si>
  <si>
    <t xml:space="preserve">APS MANDAGUARI</t>
  </si>
  <si>
    <t xml:space="preserve">Custo Anual Corretiva</t>
  </si>
  <si>
    <t xml:space="preserve">APS NOVA ESPERANÇA</t>
  </si>
  <si>
    <t xml:space="preserve">Custo Médio Mensal Manutenção</t>
  </si>
  <si>
    <t xml:space="preserve">APS PAIÇANDU</t>
  </si>
  <si>
    <t xml:space="preserve">Custo Anual Manutenção</t>
  </si>
  <si>
    <t xml:space="preserve">APS PARANAVAÍ</t>
  </si>
  <si>
    <t xml:space="preserve">APS UMUARAMA</t>
  </si>
  <si>
    <t xml:space="preserve">CEDOCPREV MARINGÁ</t>
  </si>
  <si>
    <t xml:space="preserve">GEX/APS MARINGÁ</t>
  </si>
  <si>
    <t xml:space="preserve">TOTAL</t>
  </si>
  <si>
    <t xml:space="preserve">Oficial de Manutenção Predial</t>
  </si>
  <si>
    <t xml:space="preserve">Ajudante (ref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</si>
  <si>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</si>
  <si>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</si>
  <si>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</si>
  <si>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</si>
  <si>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</si>
  <si>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</si>
  <si>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</si>
  <si>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</si>
  <si>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</si>
  <si>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</si>
  <si>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</si>
  <si>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</si>
  <si>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</si>
  <si>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</si>
  <si>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</si>
  <si>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</si>
  <si>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 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</si>
  <si>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</si>
  <si>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</si>
  <si>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</si>
  <si>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</si>
  <si>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</si>
  <si>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</si>
  <si>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</si>
  <si>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</si>
  <si>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</si>
  <si>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</si>
  <si>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</si>
  <si>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</si>
  <si>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</si>
  <si>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Preços pesquisados em 20/10/2023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</si>
  <si>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</si>
  <si>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</si>
  <si>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</si>
  <si>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</si>
  <si>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Agosto/2023.</t>
  </si>
  <si>
    <t xml:space="preserve">APS GOIOERÊ</t>
  </si>
  <si>
    <t xml:space="preserve">GEX CASCAVEL</t>
  </si>
  <si>
    <t xml:space="preserve">APS CASCAVEL</t>
  </si>
  <si>
    <t xml:space="preserve">APS TOLEDO</t>
  </si>
  <si>
    <t xml:space="preserve">APS MARECHAL CÂNDIDO RONDON</t>
  </si>
  <si>
    <t xml:space="preserve">APS ASSIS CHATEAUBRIAND</t>
  </si>
  <si>
    <t xml:space="preserve">APS PALOTINA</t>
  </si>
  <si>
    <t xml:space="preserve">APS GUAÍRA</t>
  </si>
  <si>
    <t xml:space="preserve">APS MEDIANEIRA</t>
  </si>
  <si>
    <t xml:space="preserve">APS SÃO MIGUEL DO IGUAÇU</t>
  </si>
  <si>
    <t xml:space="preserve">APS FOZ DO IGUAÇU</t>
  </si>
  <si>
    <t xml:space="preserve">APS QUEDAS DO IGUAÇU</t>
  </si>
  <si>
    <t xml:space="preserve">Pedágio (ida e volta)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</si>
  <si>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</si>
  <si>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</si>
  <si>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</si>
  <si>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</si>
  <si>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</si>
  <si>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</si>
  <si>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10/2023</t>
  </si>
  <si>
    <t xml:space="preserve">Estado</t>
  </si>
  <si>
    <t xml:space="preserve">Paraná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</si>
  <si>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</si>
  <si>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</si>
  <si>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</si>
  <si>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</si>
  <si>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Valor Desonerado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</si>
  <si>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</si>
  <si>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</si>
  <si>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</si>
  <si>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</si>
  <si>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</si>
  <si>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1,0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</si>
  <si>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</si>
  <si>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</si>
  <si>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</si>
  <si>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</si>
  <si>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</si>
  <si>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</si>
  <si>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</si>
  <si>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</si>
  <si>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</si>
  <si>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</si>
  <si>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</si>
  <si>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PARANÁ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</si>
  <si>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</si>
  <si>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</si>
  <si>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</si>
  <si>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</si>
  <si>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</si>
  <si>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</si>
  <si>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</si>
  <si>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16: Encargos Sociais – Paraná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</si>
  <si>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</si>
  <si>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</si>
  <si>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</si>
  <si>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</si>
  <si>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</si>
  <si>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</si>
  <si>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</si>
  <si>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</si>
  <si>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</si>
  <si>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</si>
  <si>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Valor Unitário Desonerado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</si>
  <si>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</si>
  <si>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</si>
  <si>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</si>
  <si>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</si>
  <si>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</si>
  <si>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</si>
  <si>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</si>
  <si>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</si>
  <si>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</si>
  <si>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</si>
  <si>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</si>
  <si>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</si>
  <si>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</si>
  <si>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</si>
  <si>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</si>
  <si>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</si>
  <si>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</si>
  <si>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</si>
  <si>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</si>
  <si>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</si>
  <si>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</si>
  <si>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</si>
  <si>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</si>
  <si>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</si>
  <si>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PR001817/2022 + PR001837/2023</t>
    </r>
  </si>
  <si>
    <t xml:space="preserve">Abrangência</t>
  </si>
  <si>
    <t xml:space="preserve">Trabalhadores das indústrias da construção civil de Curitiba/PR e região</t>
  </si>
  <si>
    <t xml:space="preserve">Salário base (SB)</t>
  </si>
  <si>
    <t xml:space="preserve">Encargos Sociais (**) - (ES)
Apêndice 16: Encargos Sociais – Paraná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</si>
  <si>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</si>
  <si>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</si>
  <si>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</si>
  <si>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</si>
  <si>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</si>
  <si>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Horista Desonerado (****) - (H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(1+</t>
    </r>
  </si>
  <si>
    <r>
      <rPr>
        <sz val="1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</si>
  <si>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</si>
  <si>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</si>
  <si>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</si>
  <si>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</si>
  <si>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</si>
  <si>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</si>
  <si>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</si>
  <si>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</si>
  <si>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</si>
  <si>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</si>
  <si>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</si>
  <si>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</si>
  <si>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</si>
  <si>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</si>
  <si>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</si>
  <si>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</si>
  <si>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</si>
  <si>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</si>
  <si>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</si>
  <si>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</si>
  <si>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</si>
  <si>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</si>
  <si>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</si>
  <si>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</si>
  <si>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</si>
  <si>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</si>
  <si>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Rua Nossa Senhora Aparecida, 181</t>
  </si>
  <si>
    <t xml:space="preserve">NÃO</t>
  </si>
  <si>
    <t xml:space="preserve">Av. Manoel Mendes de Camargo, 290, Centro</t>
  </si>
  <si>
    <t xml:space="preserve">SIM</t>
  </si>
  <si>
    <t xml:space="preserve">Av. Goiás, 17</t>
  </si>
  <si>
    <t xml:space="preserve">Rua Adinael Moreira, 11</t>
  </si>
  <si>
    <t xml:space="preserve">Av. Brasil, 3025, Jardim da Luz</t>
  </si>
  <si>
    <t xml:space="preserve">Rua Deputado Accioly Filho, 130, Centro</t>
  </si>
  <si>
    <t xml:space="preserve">Av. Marcos Dias, 315</t>
  </si>
  <si>
    <t xml:space="preserve">Av. Felipe Camarão, 945</t>
  </si>
  <si>
    <t xml:space="preserve">Rua Onésio Francisco de Faria, 755</t>
  </si>
  <si>
    <t xml:space="preserve">Rua Salgado Filho, 789</t>
  </si>
  <si>
    <t xml:space="preserve">Rua Inajá, 3610</t>
  </si>
  <si>
    <t xml:space="preserve">Av. Mauá, 1088</t>
  </si>
  <si>
    <t xml:space="preserve">Av. XV de Novembro, 491</t>
  </si>
  <si>
    <t xml:space="preserve">Av. Libertadores da América, 145</t>
  </si>
  <si>
    <t xml:space="preserve">Rua General Osório, 3423, Centro</t>
  </si>
  <si>
    <t xml:space="preserve">Rua São Paulo, 603, Centro</t>
  </si>
  <si>
    <t xml:space="preserve">Rua Rui Barbosa, 2989, Jd. Gisela</t>
  </si>
  <si>
    <t xml:space="preserve">Av. Rio Grande do Sul, 270</t>
  </si>
  <si>
    <t xml:space="preserve">Rua São Luís, 275</t>
  </si>
  <si>
    <t xml:space="preserve">Rua Vereador Antônio Pozzan, 1797, Centro</t>
  </si>
  <si>
    <t xml:space="preserve">Rua Paraguai, 1145 , Vila Velha</t>
  </si>
  <si>
    <t xml:space="preserve">Rua Riachuelo, 897</t>
  </si>
  <si>
    <t xml:space="preserve">Rua Nereu Ramos, 1313, Centro</t>
  </si>
  <si>
    <t xml:space="preserve">Av. Paraná, 1661</t>
  </si>
  <si>
    <t xml:space="preserve">Rua Romeiras, 528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</si>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</sst>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General"/>
    <numFmt numFmtId="169" formatCode="#,##0.00"/>
    <numFmt numFmtId="170" formatCode="0.00"/>
    <numFmt numFmtId="171" formatCode="0.0000%"/>
    <numFmt numFmtId="172" formatCode="#,##0.00\ ;[RED]\(#,##0.00\)"/>
    <numFmt numFmtId="173" formatCode="0.00%"/>
    <numFmt numFmtId="174" formatCode="#,##0.0"/>
    <numFmt numFmtId="175" formatCode="#,##0"/>
    <numFmt numFmtId="176" formatCode="#,##0;[RED]\(#,##0\)"/>
    <numFmt numFmtId="177" formatCode="0"/>
    <numFmt numFmtId="178" formatCode="@"/>
    <numFmt numFmtId="179" formatCode="mm/yy"/>
    <numFmt numFmtId="180" formatCode="&quot;R$ &quot;#,##0.00"/>
    <numFmt numFmtId="181" formatCode="0.000"/>
    <numFmt numFmtId="182" formatCode="d/m/yyyy"/>
    <numFmt numFmtId="183" formatCode="&quot;R$ &quot;#,##0.00;[RED]&quot;-R$ &quot;#,##0.00"/>
  </numFmts>
  <fonts count="2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sz val="10"/>
      <color rgb="FFC9211E"/>
      <name val="Arial"/>
      <family val="1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D9D9D9"/>
        <bgColor rgb="FFDCDADA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EEEEEE"/>
      </patternFill>
    </fill>
    <fill>
      <patternFill patternType="solid">
        <fgColor theme="2" tint="-0.05"/>
        <bgColor rgb="FFD9D9D9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4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6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1" fillId="7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7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9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19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0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19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7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19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1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0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7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3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8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5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25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7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0" fontId="11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DCDADA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46800</xdr:colOff>
      <xdr:row>1</xdr:row>
      <xdr:rowOff>1176480</xdr:rowOff>
    </xdr:to>
    <xdr:sp>
      <xdr:nvSpPr>
        <xdr:cNvPr id="0" name="CustomShape 1"/>
        <xdr:cNvSpPr/>
      </xdr:nvSpPr>
      <xdr:spPr>
        <a:xfrm>
          <a:off x="2441160" y="288360"/>
          <a:ext cx="2640600" cy="10785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380880</xdr:colOff>
      <xdr:row>1</xdr:row>
      <xdr:rowOff>1147680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22840" cy="939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21</xdr:row>
      <xdr:rowOff>336960</xdr:rowOff>
    </xdr:from>
    <xdr:to>
      <xdr:col>2</xdr:col>
      <xdr:colOff>2414520</xdr:colOff>
      <xdr:row>22</xdr:row>
      <xdr:rowOff>256320</xdr:rowOff>
    </xdr:to>
    <xdr:pic>
      <xdr:nvPicPr>
        <xdr:cNvPr id="2" name="Figura 4" descr=""/>
        <xdr:cNvPicPr/>
      </xdr:nvPicPr>
      <xdr:blipFill>
        <a:blip r:embed="rId1"/>
        <a:srcRect l="14223" t="63685" r="19689" b="19108"/>
        <a:stretch/>
      </xdr:blipFill>
      <xdr:spPr>
        <a:xfrm>
          <a:off x="407520" y="4385160"/>
          <a:ext cx="6657120" cy="1033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151200</xdr:colOff>
      <xdr:row>28</xdr:row>
      <xdr:rowOff>66600</xdr:rowOff>
    </xdr:from>
    <xdr:to>
      <xdr:col>2</xdr:col>
      <xdr:colOff>2362320</xdr:colOff>
      <xdr:row>32</xdr:row>
      <xdr:rowOff>33480</xdr:rowOff>
    </xdr:to>
    <xdr:pic>
      <xdr:nvPicPr>
        <xdr:cNvPr id="3" name="Figura 7" descr=""/>
        <xdr:cNvPicPr/>
      </xdr:nvPicPr>
      <xdr:blipFill>
        <a:blip r:embed="rId2"/>
        <a:srcRect l="17770" t="51118" r="20994" b="38320"/>
        <a:stretch/>
      </xdr:blipFill>
      <xdr:spPr>
        <a:xfrm>
          <a:off x="558720" y="6905520"/>
          <a:ext cx="6453720" cy="6526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4" colorId="64" zoomScale="110" zoomScaleNormal="110" zoomScalePageLayoutView="100" workbookViewId="0">
      <selection pane="topLeft" activeCell="B13" activeCellId="0" sqref="B13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5.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customFormat="false" ht="81" hidden="false" customHeight="true" outlineLevel="0" collapsed="false">
      <c r="B11" s="10" t="n">
        <v>1</v>
      </c>
      <c r="C11" s="11" t="s">
        <v>10</v>
      </c>
      <c r="D11" s="12" t="s">
        <v>11</v>
      </c>
      <c r="E11" s="12" t="n">
        <v>12</v>
      </c>
      <c r="F11" s="13" t="n">
        <f aca="false">ROUND(Resumo!D7+Resumo!F7,2)</f>
        <v>123826.81</v>
      </c>
      <c r="G11" s="14" t="n">
        <f aca="false">F11*12</f>
        <v>1485921.72</v>
      </c>
    </row>
    <row r="12" customFormat="false" ht="42" hidden="false" customHeight="true" outlineLevel="0" collapsed="false">
      <c r="B12" s="15" t="s">
        <v>12</v>
      </c>
      <c r="C12" s="15"/>
      <c r="D12" s="15"/>
      <c r="E12" s="15"/>
      <c r="F12" s="15"/>
      <c r="G12" s="15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G17" activeCellId="0" sqref="G17"/>
    </sheetView>
  </sheetViews>
  <sheetFormatPr defaultColWidth="8.453125" defaultRowHeight="12.75" zeroHeight="false" outlineLevelRow="0" outlineLevelCol="0"/>
  <cols>
    <col collapsed="false" customWidth="true" hidden="false" outlineLevel="0" max="1" min="1" style="1" width="5.2"/>
    <col collapsed="false" customWidth="true" hidden="false" outlineLevel="0" max="2" min="2" style="1" width="2.99"/>
    <col collapsed="false" customWidth="true" hidden="false" outlineLevel="0" max="3" min="3" style="1" width="12.21"/>
    <col collapsed="false" customWidth="true" hidden="false" outlineLevel="0" max="4" min="4" style="1" width="60.05"/>
    <col collapsed="false" customWidth="true" hidden="false" outlineLevel="0" max="5" min="5" style="1" width="30.01"/>
    <col collapsed="false" customWidth="true" hidden="false" outlineLevel="0" max="6" min="6" style="1" width="10.01"/>
    <col collapsed="false" customWidth="true" hidden="false" outlineLevel="0" max="7" min="7" style="1" width="13.78"/>
    <col collapsed="false" customWidth="true" hidden="false" outlineLevel="0" max="8" min="8" style="1" width="11.96"/>
    <col collapsed="false" customWidth="true" hidden="false" outlineLevel="0" max="9" min="9" style="1" width="14.03"/>
    <col collapsed="false" customWidth="true" hidden="false" outlineLevel="0" max="1026" min="10" style="1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2" t="s">
        <v>198</v>
      </c>
      <c r="C2" s="152"/>
      <c r="D2" s="152"/>
      <c r="E2" s="152"/>
      <c r="F2" s="152"/>
      <c r="G2" s="152"/>
      <c r="H2" s="152"/>
      <c r="I2" s="152"/>
    </row>
    <row r="3" customFormat="false" ht="19.5" hidden="false" customHeight="true" outlineLevel="0" collapsed="false"/>
    <row r="4" customFormat="false" ht="16.5" hidden="false" customHeight="true" outlineLevel="0" collapsed="false">
      <c r="B4" s="153" t="s">
        <v>199</v>
      </c>
      <c r="C4" s="153"/>
      <c r="D4" s="153"/>
      <c r="E4" s="153"/>
      <c r="F4" s="153"/>
      <c r="G4" s="153"/>
      <c r="H4" s="153"/>
      <c r="I4" s="153"/>
    </row>
    <row r="5" customFormat="false" ht="16.5" hidden="false" customHeight="true" outlineLevel="0" collapsed="false">
      <c r="B5" s="154" t="s">
        <v>154</v>
      </c>
      <c r="C5" s="154"/>
      <c r="D5" s="155" t="n">
        <v>91677</v>
      </c>
      <c r="E5" s="155"/>
      <c r="F5" s="155"/>
      <c r="G5" s="155"/>
      <c r="H5" s="155"/>
      <c r="I5" s="155"/>
    </row>
    <row r="6" customFormat="false" ht="16.5" hidden="false" customHeight="true" outlineLevel="0" collapsed="false">
      <c r="B6" s="154" t="s">
        <v>122</v>
      </c>
      <c r="C6" s="154"/>
      <c r="D6" s="155" t="s">
        <v>200</v>
      </c>
      <c r="E6" s="155"/>
      <c r="F6" s="155"/>
      <c r="G6" s="155"/>
      <c r="H6" s="155"/>
      <c r="I6" s="155"/>
    </row>
    <row r="7" customFormat="false" ht="16.5" hidden="false" customHeight="true" outlineLevel="0" collapsed="false">
      <c r="B7" s="154" t="s">
        <v>157</v>
      </c>
      <c r="C7" s="154"/>
      <c r="D7" s="156" t="s">
        <v>158</v>
      </c>
      <c r="E7" s="156"/>
      <c r="F7" s="156"/>
      <c r="G7" s="156"/>
      <c r="H7" s="156"/>
      <c r="I7" s="156"/>
    </row>
    <row r="8" customFormat="false" ht="16.5" hidden="false" customHeight="true" outlineLevel="0" collapsed="false">
      <c r="B8" s="154" t="s">
        <v>159</v>
      </c>
      <c r="C8" s="154"/>
      <c r="D8" s="155" t="s">
        <v>183</v>
      </c>
      <c r="E8" s="155"/>
      <c r="F8" s="155"/>
      <c r="G8" s="155"/>
      <c r="H8" s="155"/>
      <c r="I8" s="155"/>
    </row>
    <row r="9" customFormat="false" ht="16.5" hidden="false" customHeight="true" outlineLevel="0" collapsed="false">
      <c r="B9" s="154" t="s">
        <v>161</v>
      </c>
      <c r="C9" s="154"/>
      <c r="D9" s="155" t="s">
        <v>201</v>
      </c>
      <c r="E9" s="155"/>
      <c r="F9" s="155"/>
      <c r="G9" s="155"/>
      <c r="H9" s="155"/>
      <c r="I9" s="155"/>
    </row>
    <row r="10" customFormat="false" ht="16.5" hidden="false" customHeight="true" outlineLevel="0" collapsed="false">
      <c r="B10" s="154" t="s">
        <v>123</v>
      </c>
      <c r="C10" s="154"/>
      <c r="D10" s="155" t="s">
        <v>170</v>
      </c>
      <c r="E10" s="155"/>
      <c r="F10" s="155"/>
      <c r="G10" s="155"/>
      <c r="H10" s="155"/>
      <c r="I10" s="155"/>
    </row>
    <row r="11" customFormat="false" ht="23.25" hidden="false" customHeight="true" outlineLevel="0" collapsed="false">
      <c r="B11" s="157" t="s">
        <v>165</v>
      </c>
      <c r="C11" s="157"/>
      <c r="D11" s="158" t="n">
        <f aca="false">SUM(I15:I20)</f>
        <v>111.0025</v>
      </c>
      <c r="E11" s="158"/>
      <c r="F11" s="158"/>
      <c r="G11" s="158"/>
      <c r="H11" s="158"/>
      <c r="I11" s="158"/>
    </row>
    <row r="12" customFormat="false" ht="15.75" hidden="false" customHeight="true" outlineLevel="0" collapsed="false">
      <c r="B12" s="159"/>
      <c r="C12" s="159"/>
      <c r="D12" s="160"/>
      <c r="E12" s="160"/>
      <c r="F12" s="160"/>
      <c r="G12" s="160"/>
      <c r="H12" s="160"/>
      <c r="I12" s="160"/>
    </row>
    <row r="13" customFormat="false" ht="15.75" hidden="false" customHeight="true" outlineLevel="0" collapsed="false">
      <c r="B13" s="159"/>
      <c r="C13" s="159"/>
      <c r="D13" s="160"/>
      <c r="E13" s="160"/>
      <c r="F13" s="160"/>
      <c r="G13" s="160"/>
      <c r="H13" s="160"/>
      <c r="I13" s="160"/>
    </row>
    <row r="14" customFormat="false" ht="30" hidden="false" customHeight="false" outlineLevel="0" collapsed="false">
      <c r="B14" s="161"/>
      <c r="C14" s="161" t="s">
        <v>164</v>
      </c>
      <c r="D14" s="161" t="s">
        <v>122</v>
      </c>
      <c r="E14" s="161" t="s">
        <v>161</v>
      </c>
      <c r="F14" s="161" t="s">
        <v>123</v>
      </c>
      <c r="G14" s="161" t="s">
        <v>202</v>
      </c>
      <c r="H14" s="161" t="s">
        <v>166</v>
      </c>
      <c r="I14" s="161" t="s">
        <v>165</v>
      </c>
    </row>
    <row r="15" customFormat="false" ht="19.5" hidden="false" customHeight="true" outlineLevel="0" collapsed="false">
      <c r="B15" s="162" t="s">
        <v>203</v>
      </c>
      <c r="C15" s="162" t="s">
        <v>204</v>
      </c>
      <c r="D15" s="162" t="s">
        <v>205</v>
      </c>
      <c r="E15" s="162" t="s">
        <v>206</v>
      </c>
      <c r="F15" s="162" t="s">
        <v>170</v>
      </c>
      <c r="G15" s="164" t="n">
        <v>3.84</v>
      </c>
      <c r="H15" s="164" t="n">
        <v>1</v>
      </c>
      <c r="I15" s="185" t="n">
        <f aca="false">G15*H15</f>
        <v>3.84</v>
      </c>
      <c r="J15" s="186"/>
      <c r="K15" s="186"/>
    </row>
    <row r="16" customFormat="false" ht="19.5" hidden="false" customHeight="true" outlineLevel="0" collapsed="false">
      <c r="B16" s="162" t="s">
        <v>203</v>
      </c>
      <c r="C16" s="162" t="s">
        <v>207</v>
      </c>
      <c r="D16" s="162" t="s">
        <v>185</v>
      </c>
      <c r="E16" s="162" t="s">
        <v>208</v>
      </c>
      <c r="F16" s="162" t="s">
        <v>170</v>
      </c>
      <c r="G16" s="164" t="n">
        <f aca="false">'Custo Eng. Eletricista'!C13</f>
        <v>105.2325</v>
      </c>
      <c r="H16" s="164" t="n">
        <v>1</v>
      </c>
      <c r="I16" s="185" t="n">
        <f aca="false">G16*H16</f>
        <v>105.2325</v>
      </c>
      <c r="J16" s="186"/>
      <c r="K16" s="186"/>
    </row>
    <row r="17" customFormat="false" ht="30" hidden="false" customHeight="true" outlineLevel="0" collapsed="false">
      <c r="B17" s="162" t="s">
        <v>203</v>
      </c>
      <c r="C17" s="162" t="s">
        <v>209</v>
      </c>
      <c r="D17" s="162" t="s">
        <v>210</v>
      </c>
      <c r="E17" s="162" t="s">
        <v>211</v>
      </c>
      <c r="F17" s="162" t="s">
        <v>170</v>
      </c>
      <c r="G17" s="164" t="s">
        <v>212</v>
      </c>
      <c r="H17" s="164" t="n">
        <v>1</v>
      </c>
      <c r="I17" s="185" t="n">
        <f aca="false">G17*H17</f>
        <v>1.14</v>
      </c>
      <c r="J17" s="186"/>
      <c r="K17" s="186"/>
    </row>
    <row r="18" customFormat="false" ht="30" hidden="false" customHeight="true" outlineLevel="0" collapsed="false">
      <c r="B18" s="162" t="s">
        <v>203</v>
      </c>
      <c r="C18" s="162" t="s">
        <v>213</v>
      </c>
      <c r="D18" s="162" t="s">
        <v>214</v>
      </c>
      <c r="E18" s="162" t="s">
        <v>215</v>
      </c>
      <c r="F18" s="162" t="s">
        <v>170</v>
      </c>
      <c r="G18" s="164" t="s">
        <v>216</v>
      </c>
      <c r="H18" s="164" t="n">
        <v>1</v>
      </c>
      <c r="I18" s="185" t="n">
        <f aca="false">G18*H18</f>
        <v>0.07</v>
      </c>
      <c r="J18" s="186"/>
      <c r="K18" s="186"/>
    </row>
    <row r="19" customFormat="false" ht="30" hidden="false" customHeight="true" outlineLevel="0" collapsed="false">
      <c r="B19" s="162" t="s">
        <v>203</v>
      </c>
      <c r="C19" s="162" t="s">
        <v>217</v>
      </c>
      <c r="D19" s="162" t="s">
        <v>218</v>
      </c>
      <c r="E19" s="162" t="s">
        <v>219</v>
      </c>
      <c r="F19" s="162" t="s">
        <v>170</v>
      </c>
      <c r="G19" s="164" t="s">
        <v>220</v>
      </c>
      <c r="H19" s="164" t="n">
        <v>1</v>
      </c>
      <c r="I19" s="185" t="n">
        <f aca="false">G19*H19</f>
        <v>0.01</v>
      </c>
      <c r="J19" s="186"/>
      <c r="K19" s="186"/>
    </row>
    <row r="20" customFormat="false" ht="30" hidden="false" customHeight="true" outlineLevel="0" collapsed="false">
      <c r="B20" s="162" t="s">
        <v>203</v>
      </c>
      <c r="C20" s="162" t="s">
        <v>221</v>
      </c>
      <c r="D20" s="162" t="s">
        <v>222</v>
      </c>
      <c r="E20" s="162" t="s">
        <v>219</v>
      </c>
      <c r="F20" s="162" t="s">
        <v>170</v>
      </c>
      <c r="G20" s="164" t="s">
        <v>223</v>
      </c>
      <c r="H20" s="164" t="n">
        <v>1</v>
      </c>
      <c r="I20" s="185" t="n">
        <f aca="false">G20*H20</f>
        <v>0.71</v>
      </c>
      <c r="J20" s="186"/>
      <c r="K20" s="186"/>
    </row>
    <row r="21" customFormat="false" ht="19.5" hidden="false" customHeight="tru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C25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A1" activeCellId="0" sqref="A1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87" width="5.26"/>
    <col collapsed="false" customWidth="true" hidden="false" outlineLevel="0" max="2" min="2" style="187" width="54.76"/>
    <col collapsed="false" customWidth="true" hidden="false" outlineLevel="0" max="3" min="3" style="187" width="38.76"/>
    <col collapsed="false" customWidth="true" hidden="false" outlineLevel="0" max="4" min="4" style="187" width="31.12"/>
    <col collapsed="false" customWidth="false" hidden="false" outlineLevel="0" max="1024" min="5" style="187" width="10.5"/>
  </cols>
  <sheetData>
    <row r="1" customFormat="false" ht="15" hidden="false" customHeight="true" outlineLevel="0" collapsed="false"/>
    <row r="2" customFormat="false" ht="13.5" hidden="false" customHeight="false" outlineLevel="0" collapsed="false">
      <c r="C2" s="188" t="s">
        <v>183</v>
      </c>
    </row>
    <row r="3" customFormat="false" ht="13.5" hidden="false" customHeight="false" outlineLevel="0" collapsed="false">
      <c r="B3" s="189" t="s">
        <v>224</v>
      </c>
      <c r="C3" s="188" t="s">
        <v>225</v>
      </c>
    </row>
    <row r="4" customFormat="false" ht="15" hidden="false" customHeight="false" outlineLevel="0" collapsed="false">
      <c r="B4" s="189" t="s">
        <v>226</v>
      </c>
      <c r="C4" s="190" t="s">
        <v>227</v>
      </c>
    </row>
    <row r="5" customFormat="false" ht="13.5" hidden="false" customHeight="false" outlineLevel="0" collapsed="false">
      <c r="B5" s="189" t="s">
        <v>188</v>
      </c>
      <c r="C5" s="190" t="n">
        <v>45078</v>
      </c>
    </row>
    <row r="6" customFormat="false" ht="27" hidden="false" customHeight="false" outlineLevel="0" collapsed="false">
      <c r="B6" s="189" t="s">
        <v>228</v>
      </c>
      <c r="C6" s="191" t="s">
        <v>229</v>
      </c>
    </row>
    <row r="7" customFormat="false" ht="13.5" hidden="false" customHeight="false" outlineLevel="0" collapsed="false">
      <c r="B7" s="189" t="s">
        <v>230</v>
      </c>
      <c r="C7" s="192" t="n">
        <v>2596</v>
      </c>
    </row>
    <row r="8" customFormat="false" ht="13.5" hidden="false" customHeight="false" outlineLevel="0" collapsed="false">
      <c r="B8" s="193"/>
      <c r="C8" s="194"/>
    </row>
    <row r="9" customFormat="false" ht="26.25" hidden="false" customHeight="false" outlineLevel="0" collapsed="false">
      <c r="B9" s="195" t="s">
        <v>231</v>
      </c>
      <c r="C9" s="189"/>
    </row>
    <row r="10" customFormat="false" ht="13.5" hidden="false" customHeight="false" outlineLevel="0" collapsed="false">
      <c r="B10" s="189" t="s">
        <v>192</v>
      </c>
      <c r="C10" s="196" t="n">
        <v>0.8708</v>
      </c>
    </row>
    <row r="11" customFormat="false" ht="13.5" hidden="false" customHeight="false" outlineLevel="0" collapsed="false">
      <c r="B11" s="189" t="s">
        <v>232</v>
      </c>
      <c r="C11" s="196" t="n">
        <v>0.488</v>
      </c>
    </row>
    <row r="12" customFormat="false" ht="13.5" hidden="false" customHeight="false" outlineLevel="0" collapsed="false">
      <c r="B12" s="189" t="s">
        <v>193</v>
      </c>
      <c r="C12" s="196" t="n">
        <v>1.17</v>
      </c>
    </row>
    <row r="13" customFormat="false" ht="13.5" hidden="false" customHeight="false" outlineLevel="0" collapsed="false">
      <c r="B13" s="189" t="s">
        <v>233</v>
      </c>
      <c r="C13" s="196" t="n">
        <v>0.7268</v>
      </c>
    </row>
    <row r="14" customFormat="false" ht="13.5" hidden="false" customHeight="true" outlineLevel="0" collapsed="false">
      <c r="B14" s="193"/>
      <c r="C14" s="193"/>
    </row>
    <row r="15" customFormat="false" ht="13.5" hidden="false" customHeight="false" outlineLevel="0" collapsed="false">
      <c r="B15" s="197" t="s">
        <v>234</v>
      </c>
      <c r="C15" s="198"/>
    </row>
    <row r="16" customFormat="false" ht="15" hidden="false" customHeight="false" outlineLevel="0" collapsed="false">
      <c r="B16" s="199" t="s">
        <v>235</v>
      </c>
      <c r="C16" s="198" t="n">
        <f aca="false">C7*(1+C11)</f>
        <v>3862.848</v>
      </c>
    </row>
    <row r="17" customFormat="false" ht="15" hidden="false" customHeight="false" outlineLevel="0" collapsed="false">
      <c r="B17" s="199" t="s">
        <v>236</v>
      </c>
      <c r="C17" s="198" t="n">
        <f aca="false">C7*(1+C13)</f>
        <v>4482.7728</v>
      </c>
    </row>
    <row r="18" customFormat="false" ht="15" hidden="false" customHeight="false" outlineLevel="0" collapsed="false">
      <c r="B18" s="199" t="s">
        <v>237</v>
      </c>
      <c r="C18" s="200" t="n">
        <f aca="false">C16*(1+C10)/(220*(1+C11))</f>
        <v>22.07544</v>
      </c>
    </row>
    <row r="19" customFormat="false" ht="15" hidden="false" customHeight="false" outlineLevel="0" collapsed="false">
      <c r="B19" s="199" t="s">
        <v>238</v>
      </c>
      <c r="C19" s="200" t="n">
        <f aca="false">(C17*(1+C12)/(220*(1+C13)))</f>
        <v>25.606</v>
      </c>
    </row>
    <row r="21" customFormat="false" ht="13.5" hidden="false" customHeight="false" outlineLevel="0" collapsed="false">
      <c r="B21" s="187" t="s">
        <v>239</v>
      </c>
    </row>
    <row r="22" customFormat="false" ht="87.75" hidden="false" customHeight="true" outlineLevel="0" collapsed="false"/>
    <row r="23" customFormat="false" ht="34.5" hidden="false" customHeight="true" outlineLevel="0" collapsed="false">
      <c r="B23" s="201" t="s">
        <v>240</v>
      </c>
      <c r="C23" s="201"/>
    </row>
    <row r="24" customFormat="false" ht="33.75" hidden="false" customHeight="true" outlineLevel="0" collapsed="false">
      <c r="B24" s="201" t="s">
        <v>241</v>
      </c>
      <c r="C24" s="201"/>
    </row>
    <row r="25" customFormat="false" ht="23.25" hidden="false" customHeight="true" outlineLevel="0" collapsed="false">
      <c r="B25" s="201" t="s">
        <v>242</v>
      </c>
      <c r="C25" s="201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O11" activeCellId="0" sqref="O11"/>
    </sheetView>
  </sheetViews>
  <sheetFormatPr defaultColWidth="8.625" defaultRowHeight="13.5" zeroHeight="false" outlineLevelRow="0" outlineLevelCol="0"/>
  <cols>
    <col collapsed="false" customWidth="true" hidden="false" outlineLevel="0" max="1" min="1" style="1" width="5.26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.25"/>
    <col collapsed="false" customWidth="true" hidden="false" outlineLevel="0" max="5" min="5" style="1" width="30.12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2" t="s">
        <v>243</v>
      </c>
      <c r="C2" s="152"/>
      <c r="D2" s="152"/>
      <c r="E2" s="152"/>
      <c r="F2" s="152"/>
      <c r="G2" s="152"/>
      <c r="H2" s="152"/>
      <c r="I2" s="152"/>
    </row>
    <row r="3" customFormat="false" ht="19.5" hidden="false" customHeight="true" outlineLevel="0" collapsed="false"/>
    <row r="4" customFormat="false" ht="16.5" hidden="false" customHeight="true" outlineLevel="0" collapsed="false">
      <c r="B4" s="153" t="s">
        <v>244</v>
      </c>
      <c r="C4" s="153"/>
      <c r="D4" s="153"/>
      <c r="E4" s="153"/>
      <c r="F4" s="153"/>
      <c r="G4" s="153"/>
      <c r="H4" s="153"/>
      <c r="I4" s="153"/>
    </row>
    <row r="5" customFormat="false" ht="16.5" hidden="false" customHeight="true" outlineLevel="0" collapsed="false">
      <c r="B5" s="154" t="s">
        <v>154</v>
      </c>
      <c r="C5" s="154"/>
      <c r="D5" s="155" t="n">
        <v>88264</v>
      </c>
      <c r="E5" s="155"/>
      <c r="F5" s="155"/>
      <c r="G5" s="155"/>
      <c r="H5" s="155"/>
      <c r="I5" s="155"/>
    </row>
    <row r="6" customFormat="false" ht="16.5" hidden="false" customHeight="true" outlineLevel="0" collapsed="false">
      <c r="B6" s="154" t="s">
        <v>122</v>
      </c>
      <c r="C6" s="154"/>
      <c r="D6" s="155" t="s">
        <v>245</v>
      </c>
      <c r="E6" s="155"/>
      <c r="F6" s="155"/>
      <c r="G6" s="155"/>
      <c r="H6" s="155"/>
      <c r="I6" s="155"/>
    </row>
    <row r="7" customFormat="false" ht="16.5" hidden="false" customHeight="true" outlineLevel="0" collapsed="false">
      <c r="B7" s="154" t="s">
        <v>157</v>
      </c>
      <c r="C7" s="154"/>
      <c r="D7" s="156" t="s">
        <v>158</v>
      </c>
      <c r="E7" s="156"/>
      <c r="F7" s="156"/>
      <c r="G7" s="156"/>
      <c r="H7" s="156"/>
      <c r="I7" s="156"/>
    </row>
    <row r="8" customFormat="false" ht="16.5" hidden="false" customHeight="true" outlineLevel="0" collapsed="false">
      <c r="B8" s="154" t="s">
        <v>159</v>
      </c>
      <c r="C8" s="154"/>
      <c r="D8" s="155" t="s">
        <v>183</v>
      </c>
      <c r="E8" s="155"/>
      <c r="F8" s="155"/>
      <c r="G8" s="155"/>
      <c r="H8" s="155"/>
      <c r="I8" s="155"/>
    </row>
    <row r="9" customFormat="false" ht="16.5" hidden="false" customHeight="true" outlineLevel="0" collapsed="false">
      <c r="B9" s="154" t="s">
        <v>161</v>
      </c>
      <c r="C9" s="154"/>
      <c r="D9" s="155" t="s">
        <v>201</v>
      </c>
      <c r="E9" s="155"/>
      <c r="F9" s="155"/>
      <c r="G9" s="155"/>
      <c r="H9" s="155"/>
      <c r="I9" s="155"/>
    </row>
    <row r="10" customFormat="false" ht="16.5" hidden="false" customHeight="true" outlineLevel="0" collapsed="false">
      <c r="B10" s="154" t="s">
        <v>123</v>
      </c>
      <c r="C10" s="154"/>
      <c r="D10" s="155" t="s">
        <v>170</v>
      </c>
      <c r="E10" s="155"/>
      <c r="F10" s="155"/>
      <c r="G10" s="155"/>
      <c r="H10" s="155"/>
      <c r="I10" s="155"/>
    </row>
    <row r="11" customFormat="false" ht="23.25" hidden="false" customHeight="true" outlineLevel="0" collapsed="false">
      <c r="B11" s="157" t="s">
        <v>163</v>
      </c>
      <c r="C11" s="157"/>
      <c r="D11" s="158" t="n">
        <f aca="false">SUM(I14:I22)</f>
        <v>31.12</v>
      </c>
      <c r="E11" s="158"/>
      <c r="F11" s="158"/>
      <c r="G11" s="158"/>
      <c r="H11" s="158"/>
      <c r="I11" s="158"/>
    </row>
    <row r="12" customFormat="false" ht="15.75" hidden="false" customHeight="true" outlineLevel="0" collapsed="false">
      <c r="B12" s="159"/>
      <c r="C12" s="159"/>
      <c r="D12" s="160"/>
      <c r="E12" s="160"/>
      <c r="F12" s="160"/>
      <c r="G12" s="160"/>
      <c r="H12" s="160"/>
      <c r="I12" s="160"/>
    </row>
    <row r="13" customFormat="false" ht="29.25" hidden="false" customHeight="true" outlineLevel="0" collapsed="false">
      <c r="B13" s="161"/>
      <c r="C13" s="161" t="s">
        <v>164</v>
      </c>
      <c r="D13" s="161" t="s">
        <v>122</v>
      </c>
      <c r="E13" s="161" t="s">
        <v>161</v>
      </c>
      <c r="F13" s="161" t="s">
        <v>123</v>
      </c>
      <c r="G13" s="161" t="s">
        <v>202</v>
      </c>
      <c r="H13" s="161" t="s">
        <v>166</v>
      </c>
      <c r="I13" s="161" t="s">
        <v>165</v>
      </c>
    </row>
    <row r="14" customFormat="false" ht="27.75" hidden="false" customHeight="true" outlineLevel="0" collapsed="false">
      <c r="B14" s="162" t="s">
        <v>167</v>
      </c>
      <c r="C14" s="162" t="n">
        <v>95332</v>
      </c>
      <c r="D14" s="162" t="s">
        <v>246</v>
      </c>
      <c r="E14" s="162" t="s">
        <v>201</v>
      </c>
      <c r="F14" s="162" t="s">
        <v>170</v>
      </c>
      <c r="G14" s="164" t="n">
        <v>0.86</v>
      </c>
      <c r="H14" s="164" t="n">
        <v>1</v>
      </c>
      <c r="I14" s="185" t="n">
        <f aca="false">G14*H14</f>
        <v>0.86</v>
      </c>
      <c r="J14" s="186"/>
      <c r="K14" s="186"/>
    </row>
    <row r="15" customFormat="false" ht="32.25" hidden="false" customHeight="true" outlineLevel="0" collapsed="false">
      <c r="B15" s="162" t="s">
        <v>203</v>
      </c>
      <c r="C15" s="162" t="s">
        <v>247</v>
      </c>
      <c r="D15" s="162" t="s">
        <v>248</v>
      </c>
      <c r="E15" s="162" t="s">
        <v>208</v>
      </c>
      <c r="F15" s="162" t="s">
        <v>170</v>
      </c>
      <c r="G15" s="164" t="n">
        <v>22.08</v>
      </c>
      <c r="H15" s="164" t="n">
        <v>1</v>
      </c>
      <c r="I15" s="185" t="n">
        <f aca="false">G15*H15</f>
        <v>22.08</v>
      </c>
      <c r="J15" s="186"/>
      <c r="K15" s="186"/>
    </row>
    <row r="16" customFormat="false" ht="42" hidden="false" customHeight="true" outlineLevel="0" collapsed="false">
      <c r="B16" s="162" t="s">
        <v>203</v>
      </c>
      <c r="C16" s="162" t="n">
        <v>37370</v>
      </c>
      <c r="D16" s="162" t="s">
        <v>249</v>
      </c>
      <c r="E16" s="162" t="s">
        <v>211</v>
      </c>
      <c r="F16" s="162" t="s">
        <v>170</v>
      </c>
      <c r="G16" s="164" t="n">
        <v>3.79</v>
      </c>
      <c r="H16" s="164" t="n">
        <v>1</v>
      </c>
      <c r="I16" s="185" t="n">
        <f aca="false">G16*H16</f>
        <v>3.79</v>
      </c>
      <c r="J16" s="186"/>
      <c r="K16" s="186"/>
    </row>
    <row r="17" customFormat="false" ht="27.75" hidden="false" customHeight="true" outlineLevel="0" collapsed="false">
      <c r="B17" s="162" t="s">
        <v>203</v>
      </c>
      <c r="C17" s="162" t="n">
        <v>37371</v>
      </c>
      <c r="D17" s="162" t="s">
        <v>250</v>
      </c>
      <c r="E17" s="162" t="s">
        <v>251</v>
      </c>
      <c r="F17" s="162" t="s">
        <v>170</v>
      </c>
      <c r="G17" s="164" t="n">
        <v>0.86</v>
      </c>
      <c r="H17" s="164" t="n">
        <v>1</v>
      </c>
      <c r="I17" s="185" t="n">
        <f aca="false">G17*H17</f>
        <v>0.86</v>
      </c>
      <c r="J17" s="186"/>
      <c r="K17" s="186"/>
    </row>
    <row r="18" customFormat="false" ht="42" hidden="false" customHeight="true" outlineLevel="0" collapsed="false">
      <c r="B18" s="162" t="s">
        <v>203</v>
      </c>
      <c r="C18" s="162" t="n">
        <v>37372</v>
      </c>
      <c r="D18" s="162" t="s">
        <v>210</v>
      </c>
      <c r="E18" s="162" t="s">
        <v>211</v>
      </c>
      <c r="F18" s="162" t="s">
        <v>170</v>
      </c>
      <c r="G18" s="164" t="n">
        <v>1.14</v>
      </c>
      <c r="H18" s="164" t="n">
        <v>1</v>
      </c>
      <c r="I18" s="185" t="n">
        <f aca="false">G18*H18</f>
        <v>1.14</v>
      </c>
      <c r="J18" s="186"/>
      <c r="K18" s="186"/>
    </row>
    <row r="19" customFormat="false" ht="27.75" hidden="false" customHeight="true" outlineLevel="0" collapsed="false">
      <c r="B19" s="162" t="s">
        <v>203</v>
      </c>
      <c r="C19" s="162" t="n">
        <v>37373</v>
      </c>
      <c r="D19" s="162" t="s">
        <v>214</v>
      </c>
      <c r="E19" s="162" t="s">
        <v>215</v>
      </c>
      <c r="F19" s="162" t="s">
        <v>170</v>
      </c>
      <c r="G19" s="164" t="n">
        <v>0.07</v>
      </c>
      <c r="H19" s="164" t="n">
        <v>1</v>
      </c>
      <c r="I19" s="185" t="n">
        <f aca="false">G19*H19</f>
        <v>0.07</v>
      </c>
      <c r="J19" s="186"/>
      <c r="K19" s="186"/>
    </row>
    <row r="20" customFormat="false" ht="26.25" hidden="false" customHeight="false" outlineLevel="0" collapsed="false">
      <c r="B20" s="162" t="s">
        <v>203</v>
      </c>
      <c r="C20" s="162" t="n">
        <v>43460</v>
      </c>
      <c r="D20" s="162" t="s">
        <v>252</v>
      </c>
      <c r="E20" s="162" t="s">
        <v>219</v>
      </c>
      <c r="F20" s="162" t="s">
        <v>170</v>
      </c>
      <c r="G20" s="164" t="n">
        <v>0.86</v>
      </c>
      <c r="H20" s="164" t="n">
        <v>1</v>
      </c>
      <c r="I20" s="185" t="n">
        <f aca="false">G20*H20</f>
        <v>0.86</v>
      </c>
      <c r="J20" s="186"/>
      <c r="K20" s="186"/>
    </row>
    <row r="21" customFormat="false" ht="26.25" hidden="false" customHeight="false" outlineLevel="0" collapsed="false">
      <c r="B21" s="202" t="s">
        <v>203</v>
      </c>
      <c r="C21" s="202" t="n">
        <v>43461</v>
      </c>
      <c r="D21" s="202" t="s">
        <v>253</v>
      </c>
      <c r="E21" s="202" t="s">
        <v>219</v>
      </c>
      <c r="F21" s="202" t="s">
        <v>170</v>
      </c>
      <c r="G21" s="203" t="n">
        <v>0.32</v>
      </c>
      <c r="H21" s="203" t="n">
        <v>1</v>
      </c>
      <c r="I21" s="204" t="n">
        <f aca="false">G21*H21</f>
        <v>0.32</v>
      </c>
      <c r="J21" s="186"/>
      <c r="K21" s="186"/>
    </row>
    <row r="22" customFormat="false" ht="26.25" hidden="false" customHeight="false" outlineLevel="0" collapsed="false">
      <c r="B22" s="162" t="s">
        <v>203</v>
      </c>
      <c r="C22" s="162" t="n">
        <v>43484</v>
      </c>
      <c r="D22" s="162" t="s">
        <v>254</v>
      </c>
      <c r="E22" s="162" t="s">
        <v>219</v>
      </c>
      <c r="F22" s="162" t="s">
        <v>170</v>
      </c>
      <c r="G22" s="164" t="n">
        <v>1.14</v>
      </c>
      <c r="H22" s="164" t="n">
        <v>1</v>
      </c>
      <c r="I22" s="185" t="n">
        <f aca="false">G22*H22</f>
        <v>1.14</v>
      </c>
      <c r="J22" s="186"/>
      <c r="K22" s="186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29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M15" activeCellId="0" sqref="M15"/>
    </sheetView>
  </sheetViews>
  <sheetFormatPr defaultColWidth="10.37890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15.5"/>
    <col collapsed="false" customWidth="true" hidden="false" outlineLevel="0" max="3" min="3" style="17" width="16.26"/>
    <col collapsed="false" customWidth="true" hidden="false" outlineLevel="0" max="4" min="4" style="16" width="31.88"/>
    <col collapsed="false" customWidth="true" hidden="false" outlineLevel="0" max="5" min="5" style="16" width="36.88"/>
    <col collapsed="false" customWidth="true" hidden="false" outlineLevel="0" max="6" min="6" style="17" width="15.26"/>
    <col collapsed="false" customWidth="true" hidden="false" outlineLevel="0" max="7" min="7" style="16" width="9"/>
    <col collapsed="false" customWidth="true" hidden="false" outlineLevel="0" max="8" min="8" style="16" width="9.12"/>
    <col collapsed="false" customWidth="true" hidden="false" outlineLevel="0" max="9" min="9" style="16" width="12"/>
    <col collapsed="false" customWidth="true" hidden="false" outlineLevel="0" max="11" min="10" style="16" width="11.25"/>
    <col collapsed="false" customWidth="false" hidden="false" outlineLevel="0" max="12" min="12" style="16" width="10.38"/>
    <col collapsed="false" customWidth="true" hidden="false" outlineLevel="0" max="13" min="13" style="16" width="10.5"/>
    <col collapsed="false" customWidth="true" hidden="false" outlineLevel="0" max="14" min="14" style="16" width="12.5"/>
    <col collapsed="false" customWidth="true" hidden="false" outlineLevel="0" max="259" min="15" style="16" width="10.5"/>
  </cols>
  <sheetData>
    <row r="1" customFormat="false" ht="15" hidden="false" customHeight="true" outlineLevel="0" collapsed="false"/>
    <row r="2" s="205" customFormat="true" ht="29.25" hidden="false" customHeight="true" outlineLevel="0" collapsed="false">
      <c r="B2" s="206" t="str">
        <f aca="false">"RELAÇÃO DE UNIDADES DO "&amp;'Valor da Contratação'!B7&amp;""</f>
        <v>RELAÇÃO DE UNIDADES DO POLO I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</row>
    <row r="3" s="16" customFormat="true" ht="15" hidden="false" customHeight="true" outlineLevel="0" collapsed="false"/>
    <row r="4" customFormat="false" ht="66.75" hidden="false" customHeight="true" outlineLevel="0" collapsed="false">
      <c r="B4" s="32" t="s">
        <v>255</v>
      </c>
      <c r="C4" s="32" t="s">
        <v>13</v>
      </c>
      <c r="D4" s="32" t="s">
        <v>41</v>
      </c>
      <c r="E4" s="32" t="s">
        <v>256</v>
      </c>
      <c r="F4" s="32" t="s">
        <v>257</v>
      </c>
      <c r="G4" s="32" t="s">
        <v>258</v>
      </c>
      <c r="H4" s="32" t="s">
        <v>71</v>
      </c>
      <c r="I4" s="32" t="s">
        <v>259</v>
      </c>
      <c r="J4" s="32" t="s">
        <v>260</v>
      </c>
      <c r="K4" s="32" t="s">
        <v>261</v>
      </c>
      <c r="L4" s="32" t="s">
        <v>262</v>
      </c>
      <c r="M4" s="32" t="s">
        <v>263</v>
      </c>
      <c r="N4" s="32" t="s">
        <v>264</v>
      </c>
    </row>
    <row r="5" customFormat="false" ht="18" hidden="false" customHeight="true" outlineLevel="0" collapsed="false">
      <c r="B5" s="207" t="s">
        <v>21</v>
      </c>
      <c r="C5" s="207" t="s">
        <v>21</v>
      </c>
      <c r="D5" s="62" t="s">
        <v>81</v>
      </c>
      <c r="E5" s="208" t="s">
        <v>265</v>
      </c>
      <c r="F5" s="64" t="n">
        <f aca="false">117/60</f>
        <v>1.95</v>
      </c>
      <c r="G5" s="209" t="n">
        <v>0.03</v>
      </c>
      <c r="H5" s="209" t="n">
        <f aca="false">HLOOKUP(G5,BDI!$D$19:$J$30,12,)</f>
        <v>0.2979</v>
      </c>
      <c r="I5" s="210" t="n">
        <v>334.4</v>
      </c>
      <c r="J5" s="210" t="n">
        <v>296</v>
      </c>
      <c r="K5" s="210" t="n">
        <v>38.4</v>
      </c>
      <c r="L5" s="210" t="n">
        <v>0</v>
      </c>
      <c r="M5" s="210" t="s">
        <v>266</v>
      </c>
      <c r="N5" s="210" t="s">
        <v>266</v>
      </c>
    </row>
    <row r="6" customFormat="false" ht="18" hidden="false" customHeight="true" outlineLevel="0" collapsed="false">
      <c r="B6" s="207" t="s">
        <v>21</v>
      </c>
      <c r="C6" s="207" t="s">
        <v>21</v>
      </c>
      <c r="D6" s="62" t="s">
        <v>83</v>
      </c>
      <c r="E6" s="208" t="s">
        <v>267</v>
      </c>
      <c r="F6" s="64" t="n">
        <f aca="false">156/60</f>
        <v>2.6</v>
      </c>
      <c r="G6" s="209" t="n">
        <v>0.05</v>
      </c>
      <c r="H6" s="209" t="n">
        <f aca="false">HLOOKUP(G6,BDI!$D$19:$J$30,12,)</f>
        <v>0.3278</v>
      </c>
      <c r="I6" s="210" t="n">
        <v>2272.18</v>
      </c>
      <c r="J6" s="210" t="n">
        <v>1403.37</v>
      </c>
      <c r="K6" s="210" t="n">
        <v>651.61</v>
      </c>
      <c r="L6" s="210" t="n">
        <v>217.2</v>
      </c>
      <c r="M6" s="210" t="s">
        <v>268</v>
      </c>
      <c r="N6" s="210" t="s">
        <v>268</v>
      </c>
    </row>
    <row r="7" customFormat="false" ht="18" hidden="false" customHeight="true" outlineLevel="0" collapsed="false">
      <c r="B7" s="207" t="s">
        <v>21</v>
      </c>
      <c r="C7" s="207" t="s">
        <v>21</v>
      </c>
      <c r="D7" s="62" t="s">
        <v>85</v>
      </c>
      <c r="E7" s="211" t="s">
        <v>269</v>
      </c>
      <c r="F7" s="64" t="n">
        <f aca="false">76*2/60</f>
        <v>2.53333333333333</v>
      </c>
      <c r="G7" s="209" t="n">
        <v>0.03</v>
      </c>
      <c r="H7" s="209" t="n">
        <f aca="false">HLOOKUP(G7,BDI!$D$19:$J$30,12,)</f>
        <v>0.2979</v>
      </c>
      <c r="I7" s="210" t="n">
        <v>948.9</v>
      </c>
      <c r="J7" s="210" t="n">
        <v>585</v>
      </c>
      <c r="K7" s="210" t="n">
        <v>363.9</v>
      </c>
      <c r="L7" s="210" t="n">
        <v>0</v>
      </c>
      <c r="M7" s="210" t="s">
        <v>266</v>
      </c>
      <c r="N7" s="210" t="s">
        <v>266</v>
      </c>
    </row>
    <row r="8" customFormat="false" ht="18" hidden="false" customHeight="true" outlineLevel="0" collapsed="false">
      <c r="B8" s="207" t="s">
        <v>21</v>
      </c>
      <c r="C8" s="207" t="s">
        <v>21</v>
      </c>
      <c r="D8" s="62" t="s">
        <v>86</v>
      </c>
      <c r="E8" s="211" t="s">
        <v>270</v>
      </c>
      <c r="F8" s="64" t="n">
        <f aca="false">82*2/60</f>
        <v>2.73333333333333</v>
      </c>
      <c r="G8" s="209" t="n">
        <v>0.03</v>
      </c>
      <c r="H8" s="209" t="n">
        <f aca="false">HLOOKUP(G8,BDI!$D$19:$J$30,12,)</f>
        <v>0.2979</v>
      </c>
      <c r="I8" s="210" t="n">
        <v>334.4</v>
      </c>
      <c r="J8" s="210" t="n">
        <v>296</v>
      </c>
      <c r="K8" s="210" t="n">
        <v>38.4</v>
      </c>
      <c r="L8" s="210" t="n">
        <v>0</v>
      </c>
      <c r="M8" s="210" t="s">
        <v>266</v>
      </c>
      <c r="N8" s="210" t="s">
        <v>266</v>
      </c>
    </row>
    <row r="9" customFormat="false" ht="18" hidden="false" customHeight="true" outlineLevel="0" collapsed="false">
      <c r="B9" s="207" t="s">
        <v>21</v>
      </c>
      <c r="C9" s="207" t="s">
        <v>21</v>
      </c>
      <c r="D9" s="62" t="s">
        <v>87</v>
      </c>
      <c r="E9" s="208" t="s">
        <v>271</v>
      </c>
      <c r="F9" s="64" t="n">
        <f aca="false">114*2/60</f>
        <v>3.8</v>
      </c>
      <c r="G9" s="209" t="n">
        <v>0.04</v>
      </c>
      <c r="H9" s="209" t="n">
        <f aca="false">HLOOKUP(G9,BDI!$D$19:$J$30,12,)</f>
        <v>0.3127</v>
      </c>
      <c r="I9" s="210" t="n">
        <v>334.4</v>
      </c>
      <c r="J9" s="210" t="n">
        <v>296</v>
      </c>
      <c r="K9" s="210" t="n">
        <v>38.4</v>
      </c>
      <c r="L9" s="210" t="n">
        <v>0</v>
      </c>
      <c r="M9" s="210" t="s">
        <v>266</v>
      </c>
      <c r="N9" s="210" t="s">
        <v>266</v>
      </c>
    </row>
    <row r="10" customFormat="false" ht="18" hidden="false" customHeight="true" outlineLevel="0" collapsed="false">
      <c r="B10" s="207" t="s">
        <v>21</v>
      </c>
      <c r="C10" s="207" t="s">
        <v>21</v>
      </c>
      <c r="D10" s="62" t="s">
        <v>89</v>
      </c>
      <c r="E10" s="208" t="s">
        <v>272</v>
      </c>
      <c r="F10" s="64" t="n">
        <f aca="false">69*2/60</f>
        <v>2.3</v>
      </c>
      <c r="G10" s="209" t="n">
        <v>0.05</v>
      </c>
      <c r="H10" s="209" t="n">
        <f aca="false">HLOOKUP(G10,BDI!$D$19:$J$30,12,)</f>
        <v>0.3278</v>
      </c>
      <c r="I10" s="210" t="n">
        <v>645.13</v>
      </c>
      <c r="J10" s="210" t="n">
        <v>452.2</v>
      </c>
      <c r="K10" s="210" t="n">
        <v>91.93</v>
      </c>
      <c r="L10" s="210" t="n">
        <v>101</v>
      </c>
      <c r="M10" s="210" t="s">
        <v>266</v>
      </c>
      <c r="N10" s="210" t="s">
        <v>266</v>
      </c>
    </row>
    <row r="11" customFormat="false" ht="18" hidden="false" customHeight="true" outlineLevel="0" collapsed="false">
      <c r="B11" s="207" t="s">
        <v>21</v>
      </c>
      <c r="C11" s="207" t="s">
        <v>21</v>
      </c>
      <c r="D11" s="62" t="s">
        <v>90</v>
      </c>
      <c r="E11" s="208" t="s">
        <v>273</v>
      </c>
      <c r="F11" s="64" t="n">
        <f aca="false">90/60</f>
        <v>1.5</v>
      </c>
      <c r="G11" s="209" t="n">
        <v>0.03</v>
      </c>
      <c r="H11" s="209" t="n">
        <f aca="false">HLOOKUP(G11,BDI!$D$19:$J$30,12,)</f>
        <v>0.2979</v>
      </c>
      <c r="I11" s="210" t="n">
        <v>334.4</v>
      </c>
      <c r="J11" s="210" t="n">
        <v>296</v>
      </c>
      <c r="K11" s="210" t="n">
        <v>38.4</v>
      </c>
      <c r="L11" s="210" t="n">
        <v>0</v>
      </c>
      <c r="M11" s="210" t="s">
        <v>266</v>
      </c>
      <c r="N11" s="210" t="s">
        <v>266</v>
      </c>
    </row>
    <row r="12" customFormat="false" ht="18" hidden="false" customHeight="true" outlineLevel="0" collapsed="false">
      <c r="B12" s="207" t="s">
        <v>21</v>
      </c>
      <c r="C12" s="207" t="s">
        <v>21</v>
      </c>
      <c r="D12" s="62" t="s">
        <v>92</v>
      </c>
      <c r="E12" s="208" t="s">
        <v>274</v>
      </c>
      <c r="F12" s="64" t="n">
        <f aca="false">92/60</f>
        <v>1.53333333333333</v>
      </c>
      <c r="G12" s="209" t="n">
        <v>0.02</v>
      </c>
      <c r="H12" s="209" t="n">
        <f aca="false">HLOOKUP(G12,BDI!$D$19:$J$30,12,)</f>
        <v>0.2835</v>
      </c>
      <c r="I12" s="210" t="n">
        <v>334.4</v>
      </c>
      <c r="J12" s="210" t="n">
        <v>296</v>
      </c>
      <c r="K12" s="210" t="n">
        <v>38.4</v>
      </c>
      <c r="L12" s="210" t="n">
        <v>0</v>
      </c>
      <c r="M12" s="210" t="s">
        <v>266</v>
      </c>
      <c r="N12" s="210" t="s">
        <v>266</v>
      </c>
    </row>
    <row r="13" customFormat="false" ht="18" hidden="false" customHeight="true" outlineLevel="0" collapsed="false">
      <c r="B13" s="207" t="s">
        <v>21</v>
      </c>
      <c r="C13" s="207" t="s">
        <v>21</v>
      </c>
      <c r="D13" s="62" t="s">
        <v>94</v>
      </c>
      <c r="E13" s="208" t="s">
        <v>275</v>
      </c>
      <c r="F13" s="64" t="n">
        <f aca="false">42/60</f>
        <v>0.7</v>
      </c>
      <c r="G13" s="209" t="n">
        <v>0.03</v>
      </c>
      <c r="H13" s="209" t="n">
        <f aca="false">HLOOKUP(G13,BDI!$D$19:$J$30,12,)</f>
        <v>0.2979</v>
      </c>
      <c r="I13" s="210" t="n">
        <v>334.4</v>
      </c>
      <c r="J13" s="210" t="n">
        <v>296</v>
      </c>
      <c r="K13" s="210" t="n">
        <v>38.4</v>
      </c>
      <c r="L13" s="210" t="n">
        <v>0</v>
      </c>
      <c r="M13" s="210" t="s">
        <v>266</v>
      </c>
      <c r="N13" s="210" t="s">
        <v>266</v>
      </c>
    </row>
    <row r="14" customFormat="false" ht="18" hidden="false" customHeight="true" outlineLevel="0" collapsed="false">
      <c r="B14" s="207" t="s">
        <v>21</v>
      </c>
      <c r="C14" s="207" t="s">
        <v>21</v>
      </c>
      <c r="D14" s="62" t="s">
        <v>96</v>
      </c>
      <c r="E14" s="208" t="s">
        <v>276</v>
      </c>
      <c r="F14" s="64" t="n">
        <f aca="false">114/60</f>
        <v>1.9</v>
      </c>
      <c r="G14" s="209" t="n">
        <v>0.04</v>
      </c>
      <c r="H14" s="209" t="n">
        <f aca="false">HLOOKUP(G14,BDI!$D$19:$J$30,12,)</f>
        <v>0.3127</v>
      </c>
      <c r="I14" s="210" t="n">
        <v>2638.17</v>
      </c>
      <c r="J14" s="210" t="n">
        <v>1217.05</v>
      </c>
      <c r="K14" s="210" t="n">
        <v>346.5</v>
      </c>
      <c r="L14" s="210" t="n">
        <v>1074.62</v>
      </c>
      <c r="M14" s="210" t="s">
        <v>268</v>
      </c>
      <c r="N14" s="210" t="s">
        <v>268</v>
      </c>
    </row>
    <row r="15" customFormat="false" ht="18" hidden="false" customHeight="true" outlineLevel="0" collapsed="false">
      <c r="B15" s="207" t="s">
        <v>21</v>
      </c>
      <c r="C15" s="207" t="s">
        <v>21</v>
      </c>
      <c r="D15" s="62" t="s">
        <v>97</v>
      </c>
      <c r="E15" s="208" t="s">
        <v>277</v>
      </c>
      <c r="F15" s="64" t="n">
        <f aca="false">284/60</f>
        <v>4.73333333333333</v>
      </c>
      <c r="G15" s="209" t="n">
        <v>0.02</v>
      </c>
      <c r="H15" s="209" t="n">
        <f aca="false">HLOOKUP(G15,BDI!$D$19:$J$30,12,)</f>
        <v>0.2835</v>
      </c>
      <c r="I15" s="210" t="n">
        <v>3345.5</v>
      </c>
      <c r="J15" s="210" t="n">
        <v>2007</v>
      </c>
      <c r="K15" s="210" t="n">
        <v>1003.5</v>
      </c>
      <c r="L15" s="210" t="n">
        <v>335</v>
      </c>
      <c r="M15" s="210" t="s">
        <v>268</v>
      </c>
      <c r="N15" s="210" t="s">
        <v>268</v>
      </c>
    </row>
    <row r="16" customFormat="false" ht="18" hidden="false" customHeight="true" outlineLevel="0" collapsed="false">
      <c r="B16" s="207" t="s">
        <v>21</v>
      </c>
      <c r="C16" s="207" t="s">
        <v>21</v>
      </c>
      <c r="D16" s="62" t="s">
        <v>98</v>
      </c>
      <c r="E16" s="208" t="s">
        <v>278</v>
      </c>
      <c r="F16" s="64" t="n">
        <f aca="false">20/60</f>
        <v>0.333333333333333</v>
      </c>
      <c r="G16" s="209" t="n">
        <v>0.03</v>
      </c>
      <c r="H16" s="209" t="n">
        <f aca="false">HLOOKUP(G16,BDI!$D$19:$J$30,12,)</f>
        <v>0.2979</v>
      </c>
      <c r="I16" s="210" t="n">
        <v>1122</v>
      </c>
      <c r="J16" s="210" t="n">
        <v>882</v>
      </c>
      <c r="K16" s="210" t="n">
        <v>240</v>
      </c>
      <c r="L16" s="210" t="n">
        <v>0</v>
      </c>
      <c r="M16" s="210" t="s">
        <v>266</v>
      </c>
      <c r="N16" s="210" t="s">
        <v>266</v>
      </c>
    </row>
    <row r="17" customFormat="false" ht="18" hidden="false" customHeight="true" outlineLevel="0" collapsed="false">
      <c r="B17" s="207" t="s">
        <v>21</v>
      </c>
      <c r="C17" s="207" t="s">
        <v>21</v>
      </c>
      <c r="D17" s="62" t="s">
        <v>99</v>
      </c>
      <c r="E17" s="208" t="s">
        <v>279</v>
      </c>
      <c r="F17" s="64" t="n">
        <v>0</v>
      </c>
      <c r="G17" s="209" t="n">
        <v>0.03</v>
      </c>
      <c r="H17" s="209" t="n">
        <f aca="false">HLOOKUP(G17,BDI!$D$19:$J$30,12,)</f>
        <v>0.2979</v>
      </c>
      <c r="I17" s="210" t="n">
        <v>3140.36</v>
      </c>
      <c r="J17" s="210" t="n">
        <v>2714.7</v>
      </c>
      <c r="K17" s="210" t="n">
        <v>425.66</v>
      </c>
      <c r="L17" s="210" t="n">
        <v>0</v>
      </c>
      <c r="M17" s="210" t="s">
        <v>268</v>
      </c>
      <c r="N17" s="210" t="s">
        <v>268</v>
      </c>
    </row>
    <row r="18" customFormat="false" ht="18" hidden="false" customHeight="true" outlineLevel="0" collapsed="false">
      <c r="B18" s="207" t="s">
        <v>21</v>
      </c>
      <c r="C18" s="207" t="s">
        <v>22</v>
      </c>
      <c r="D18" s="62" t="s">
        <v>139</v>
      </c>
      <c r="E18" s="208" t="s">
        <v>280</v>
      </c>
      <c r="F18" s="64" t="n">
        <f aca="false">214/60</f>
        <v>3.56666666666667</v>
      </c>
      <c r="G18" s="209" t="n">
        <v>0.02</v>
      </c>
      <c r="H18" s="209" t="n">
        <f aca="false">HLOOKUP(G18,BDI!$D$19:$J$30,12,)</f>
        <v>0.2835</v>
      </c>
      <c r="I18" s="210" t="n">
        <v>851.2</v>
      </c>
      <c r="J18" s="210" t="n">
        <v>425.6</v>
      </c>
      <c r="K18" s="210" t="n">
        <v>42.56</v>
      </c>
      <c r="L18" s="210" t="n">
        <v>383.04</v>
      </c>
      <c r="M18" s="210" t="s">
        <v>268</v>
      </c>
      <c r="N18" s="210" t="s">
        <v>268</v>
      </c>
    </row>
    <row r="19" customFormat="false" ht="18" hidden="false" customHeight="true" outlineLevel="0" collapsed="false">
      <c r="B19" s="207" t="s">
        <v>22</v>
      </c>
      <c r="C19" s="207" t="s">
        <v>22</v>
      </c>
      <c r="D19" s="62" t="s">
        <v>140</v>
      </c>
      <c r="E19" s="208" t="s">
        <v>281</v>
      </c>
      <c r="F19" s="64" t="n">
        <v>0</v>
      </c>
      <c r="G19" s="209" t="n">
        <v>0.03</v>
      </c>
      <c r="H19" s="209" t="n">
        <f aca="false">HLOOKUP(G19,BDI!$D$19:$J$30,12,)</f>
        <v>0.2979</v>
      </c>
      <c r="I19" s="210" t="n">
        <v>1200</v>
      </c>
      <c r="J19" s="210" t="n">
        <v>0</v>
      </c>
      <c r="K19" s="210" t="n">
        <v>0</v>
      </c>
      <c r="L19" s="210" t="n">
        <v>0</v>
      </c>
      <c r="M19" s="210" t="s">
        <v>268</v>
      </c>
      <c r="N19" s="210" t="s">
        <v>266</v>
      </c>
    </row>
    <row r="20" customFormat="false" ht="18" hidden="false" customHeight="true" outlineLevel="0" collapsed="false">
      <c r="B20" s="207" t="s">
        <v>22</v>
      </c>
      <c r="C20" s="207" t="s">
        <v>22</v>
      </c>
      <c r="D20" s="62" t="s">
        <v>141</v>
      </c>
      <c r="E20" s="208" t="s">
        <v>282</v>
      </c>
      <c r="F20" s="64" t="n">
        <f aca="false">4/60</f>
        <v>0.0666666666666667</v>
      </c>
      <c r="G20" s="209" t="n">
        <v>0.03</v>
      </c>
      <c r="H20" s="209" t="n">
        <f aca="false">HLOOKUP(G20,BDI!$D$19:$J$30,12,)</f>
        <v>0.2979</v>
      </c>
      <c r="I20" s="210" t="n">
        <v>3298.13</v>
      </c>
      <c r="J20" s="210" t="n">
        <v>1621.17</v>
      </c>
      <c r="K20" s="210" t="n">
        <v>1676.96</v>
      </c>
      <c r="L20" s="210" t="n">
        <v>0</v>
      </c>
      <c r="M20" s="210" t="s">
        <v>268</v>
      </c>
      <c r="N20" s="210" t="s">
        <v>268</v>
      </c>
    </row>
    <row r="21" customFormat="false" ht="18" hidden="false" customHeight="true" outlineLevel="0" collapsed="false">
      <c r="B21" s="207" t="s">
        <v>22</v>
      </c>
      <c r="C21" s="207" t="s">
        <v>22</v>
      </c>
      <c r="D21" s="62" t="s">
        <v>142</v>
      </c>
      <c r="E21" s="208" t="s">
        <v>283</v>
      </c>
      <c r="F21" s="64" t="n">
        <f aca="false">84/60</f>
        <v>1.4</v>
      </c>
      <c r="G21" s="209" t="n">
        <v>0.03</v>
      </c>
      <c r="H21" s="209" t="n">
        <f aca="false">HLOOKUP(G21,BDI!$D$19:$J$30,12,)</f>
        <v>0.2979</v>
      </c>
      <c r="I21" s="210" t="n">
        <v>2005</v>
      </c>
      <c r="J21" s="210" t="n">
        <v>1554.31</v>
      </c>
      <c r="K21" s="210" t="n">
        <v>450.69</v>
      </c>
      <c r="L21" s="210" t="n">
        <v>0</v>
      </c>
      <c r="M21" s="210" t="s">
        <v>268</v>
      </c>
      <c r="N21" s="210" t="s">
        <v>268</v>
      </c>
    </row>
    <row r="22" customFormat="false" ht="18" hidden="false" customHeight="true" outlineLevel="0" collapsed="false">
      <c r="B22" s="207" t="s">
        <v>22</v>
      </c>
      <c r="C22" s="207" t="s">
        <v>22</v>
      </c>
      <c r="D22" s="62" t="s">
        <v>143</v>
      </c>
      <c r="E22" s="208" t="s">
        <v>284</v>
      </c>
      <c r="F22" s="64" t="n">
        <f aca="false">74*2/60</f>
        <v>2.46666666666667</v>
      </c>
      <c r="G22" s="209" t="n">
        <v>0.02</v>
      </c>
      <c r="H22" s="209" t="n">
        <f aca="false">HLOOKUP(G22,BDI!$D$19:$J$30,12,)</f>
        <v>0.2835</v>
      </c>
      <c r="I22" s="210" t="n">
        <v>785.22</v>
      </c>
      <c r="J22" s="210" t="n">
        <v>551.75</v>
      </c>
      <c r="K22" s="210" t="n">
        <v>233.47</v>
      </c>
      <c r="L22" s="210" t="n">
        <v>0</v>
      </c>
      <c r="M22" s="210" t="s">
        <v>266</v>
      </c>
      <c r="N22" s="210" t="s">
        <v>266</v>
      </c>
    </row>
    <row r="23" customFormat="false" ht="18" hidden="false" customHeight="true" outlineLevel="0" collapsed="false">
      <c r="B23" s="207" t="s">
        <v>22</v>
      </c>
      <c r="C23" s="207" t="s">
        <v>22</v>
      </c>
      <c r="D23" s="62" t="s">
        <v>144</v>
      </c>
      <c r="E23" s="208" t="s">
        <v>285</v>
      </c>
      <c r="F23" s="64" t="n">
        <f aca="false">69*2/60</f>
        <v>2.3</v>
      </c>
      <c r="G23" s="209" t="n">
        <v>0.03</v>
      </c>
      <c r="H23" s="209" t="n">
        <f aca="false">HLOOKUP(G23,BDI!$D$19:$J$30,12,)</f>
        <v>0.2979</v>
      </c>
      <c r="I23" s="210" t="n">
        <v>525</v>
      </c>
      <c r="J23" s="210" t="n">
        <v>423.47</v>
      </c>
      <c r="K23" s="210" t="n">
        <v>101.53</v>
      </c>
      <c r="L23" s="210" t="n">
        <v>0</v>
      </c>
      <c r="M23" s="210" t="s">
        <v>266</v>
      </c>
      <c r="N23" s="210" t="s">
        <v>266</v>
      </c>
    </row>
    <row r="24" customFormat="false" ht="18" hidden="false" customHeight="true" outlineLevel="0" collapsed="false">
      <c r="B24" s="207" t="s">
        <v>22</v>
      </c>
      <c r="C24" s="207" t="s">
        <v>22</v>
      </c>
      <c r="D24" s="62" t="s">
        <v>145</v>
      </c>
      <c r="E24" s="208" t="s">
        <v>286</v>
      </c>
      <c r="F24" s="64" t="n">
        <f aca="false">77*2/60</f>
        <v>2.56666666666667</v>
      </c>
      <c r="G24" s="209" t="n">
        <v>0.03</v>
      </c>
      <c r="H24" s="209" t="n">
        <f aca="false">HLOOKUP(G24,BDI!$D$19:$J$30,12,)</f>
        <v>0.2979</v>
      </c>
      <c r="I24" s="210" t="n">
        <v>334.4</v>
      </c>
      <c r="J24" s="210" t="n">
        <v>296</v>
      </c>
      <c r="K24" s="210" t="n">
        <v>38.4</v>
      </c>
      <c r="L24" s="210" t="n">
        <v>0</v>
      </c>
      <c r="M24" s="210" t="s">
        <v>266</v>
      </c>
      <c r="N24" s="210" t="s">
        <v>266</v>
      </c>
    </row>
    <row r="25" customFormat="false" ht="18" hidden="false" customHeight="true" outlineLevel="0" collapsed="false">
      <c r="B25" s="207" t="s">
        <v>22</v>
      </c>
      <c r="C25" s="207" t="s">
        <v>22</v>
      </c>
      <c r="D25" s="62" t="s">
        <v>146</v>
      </c>
      <c r="E25" s="208" t="s">
        <v>287</v>
      </c>
      <c r="F25" s="64" t="n">
        <f aca="false">244/60</f>
        <v>4.06666666666667</v>
      </c>
      <c r="G25" s="209" t="n">
        <v>0.04</v>
      </c>
      <c r="H25" s="209" t="n">
        <f aca="false">HLOOKUP(G25,BDI!$D$19:$J$30,12,)</f>
        <v>0.3127</v>
      </c>
      <c r="I25" s="210" t="n">
        <v>567.94</v>
      </c>
      <c r="J25" s="210" t="n">
        <v>450.82</v>
      </c>
      <c r="K25" s="210" t="n">
        <v>117.12</v>
      </c>
      <c r="L25" s="210" t="n">
        <v>0</v>
      </c>
      <c r="M25" s="210" t="s">
        <v>266</v>
      </c>
      <c r="N25" s="210" t="s">
        <v>266</v>
      </c>
    </row>
    <row r="26" customFormat="false" ht="18" hidden="false" customHeight="true" outlineLevel="0" collapsed="false">
      <c r="B26" s="207" t="s">
        <v>22</v>
      </c>
      <c r="C26" s="207" t="s">
        <v>22</v>
      </c>
      <c r="D26" s="62" t="s">
        <v>147</v>
      </c>
      <c r="E26" s="208" t="s">
        <v>288</v>
      </c>
      <c r="F26" s="64" t="n">
        <f aca="false">73*2/60</f>
        <v>2.43333333333333</v>
      </c>
      <c r="G26" s="209" t="n">
        <v>0.03</v>
      </c>
      <c r="H26" s="209" t="n">
        <f aca="false">HLOOKUP(G26,BDI!$D$19:$J$30,12,)</f>
        <v>0.2979</v>
      </c>
      <c r="I26" s="210" t="n">
        <v>1340</v>
      </c>
      <c r="J26" s="210" t="n">
        <v>695.46</v>
      </c>
      <c r="K26" s="210" t="n">
        <v>389.89</v>
      </c>
      <c r="L26" s="210" t="n">
        <v>254.65</v>
      </c>
      <c r="M26" s="210" t="s">
        <v>266</v>
      </c>
      <c r="N26" s="210" t="s">
        <v>266</v>
      </c>
    </row>
    <row r="27" customFormat="false" ht="18" hidden="false" customHeight="true" outlineLevel="0" collapsed="false">
      <c r="B27" s="207" t="s">
        <v>22</v>
      </c>
      <c r="C27" s="207" t="s">
        <v>22</v>
      </c>
      <c r="D27" s="62" t="s">
        <v>148</v>
      </c>
      <c r="E27" s="211" t="s">
        <v>289</v>
      </c>
      <c r="F27" s="64" t="n">
        <f aca="false">89*2/60</f>
        <v>2.96666666666667</v>
      </c>
      <c r="G27" s="209" t="n">
        <v>0.03</v>
      </c>
      <c r="H27" s="209" t="n">
        <f aca="false">HLOOKUP(G27,BDI!$D$19:$J$30,12,)</f>
        <v>0.2979</v>
      </c>
      <c r="I27" s="210" t="n">
        <v>334.4</v>
      </c>
      <c r="J27" s="210" t="n">
        <v>296</v>
      </c>
      <c r="K27" s="210" t="n">
        <v>38.4</v>
      </c>
      <c r="L27" s="210" t="n">
        <v>0</v>
      </c>
      <c r="M27" s="210" t="s">
        <v>266</v>
      </c>
      <c r="N27" s="210" t="s">
        <v>266</v>
      </c>
    </row>
    <row r="28" customFormat="false" ht="18" hidden="false" customHeight="true" outlineLevel="0" collapsed="false">
      <c r="B28" s="207" t="s">
        <v>22</v>
      </c>
      <c r="C28" s="207" t="s">
        <v>22</v>
      </c>
      <c r="D28" s="62" t="s">
        <v>149</v>
      </c>
      <c r="E28" s="208" t="s">
        <v>290</v>
      </c>
      <c r="F28" s="64" t="n">
        <f aca="false">235/60</f>
        <v>3.91666666666667</v>
      </c>
      <c r="G28" s="209" t="n">
        <v>0.04</v>
      </c>
      <c r="H28" s="209" t="n">
        <f aca="false">HLOOKUP(G28,BDI!$D$19:$J$30,12,)</f>
        <v>0.3127</v>
      </c>
      <c r="I28" s="210" t="n">
        <v>3100</v>
      </c>
      <c r="J28" s="210" t="n">
        <v>2069.99</v>
      </c>
      <c r="K28" s="210" t="n">
        <v>964.36</v>
      </c>
      <c r="L28" s="210" t="n">
        <v>65.65</v>
      </c>
      <c r="M28" s="210" t="s">
        <v>268</v>
      </c>
      <c r="N28" s="210" t="s">
        <v>268</v>
      </c>
    </row>
    <row r="29" customFormat="false" ht="18" hidden="false" customHeight="true" outlineLevel="0" collapsed="false">
      <c r="B29" s="207" t="s">
        <v>22</v>
      </c>
      <c r="C29" s="207" t="s">
        <v>22</v>
      </c>
      <c r="D29" s="62" t="s">
        <v>150</v>
      </c>
      <c r="E29" s="208" t="s">
        <v>291</v>
      </c>
      <c r="F29" s="64" t="n">
        <f aca="false">211/60</f>
        <v>3.51666666666667</v>
      </c>
      <c r="G29" s="209" t="n">
        <v>0.02</v>
      </c>
      <c r="H29" s="209" t="n">
        <f aca="false">HLOOKUP(G29,BDI!$D$19:$J$30,12,)</f>
        <v>0.2835</v>
      </c>
      <c r="I29" s="210" t="n">
        <v>334.4</v>
      </c>
      <c r="J29" s="210" t="n">
        <v>296</v>
      </c>
      <c r="K29" s="210" t="n">
        <v>38.4</v>
      </c>
      <c r="L29" s="210" t="n">
        <v>0</v>
      </c>
      <c r="M29" s="210" t="s">
        <v>266</v>
      </c>
      <c r="N29" s="210" t="s">
        <v>266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7" colorId="64" zoomScale="110" zoomScaleNormal="110" zoomScalePageLayoutView="100" workbookViewId="0">
      <selection pane="topLeft" activeCell="I18" activeCellId="0" sqref="I18"/>
    </sheetView>
  </sheetViews>
  <sheetFormatPr defaultColWidth="10.37890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12" width="15.62"/>
    <col collapsed="false" customWidth="true" hidden="false" outlineLevel="0" max="3" min="3" style="212" width="35.88"/>
    <col collapsed="false" customWidth="true" hidden="false" outlineLevel="0" max="4" min="4" style="50" width="11"/>
    <col collapsed="false" customWidth="true" hidden="false" outlineLevel="0" max="1024" min="1024" style="1" width="8.5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13" t="s">
        <v>292</v>
      </c>
      <c r="C2" s="213"/>
      <c r="D2" s="213"/>
      <c r="E2" s="213"/>
      <c r="F2" s="213"/>
      <c r="G2" s="213"/>
      <c r="H2" s="213"/>
      <c r="I2" s="213"/>
      <c r="J2" s="213"/>
    </row>
    <row r="3" customFormat="false" ht="19.5" hidden="false" customHeight="true" outlineLevel="0" collapsed="false">
      <c r="B3" s="214" t="str">
        <f aca="false">'Valor da Contratação'!B8</f>
        <v>DESONERADA</v>
      </c>
      <c r="C3" s="214"/>
      <c r="D3" s="214"/>
      <c r="E3" s="214"/>
      <c r="F3" s="214"/>
      <c r="G3" s="214"/>
      <c r="H3" s="214"/>
      <c r="I3" s="214"/>
      <c r="J3" s="214"/>
    </row>
    <row r="4" customFormat="false" ht="15" hidden="false" customHeight="true" outlineLevel="0" collapsed="false">
      <c r="B4" s="215"/>
      <c r="C4" s="215"/>
      <c r="D4" s="20"/>
    </row>
    <row r="5" customFormat="false" ht="15" hidden="false" customHeight="true" outlineLevel="0" collapsed="false">
      <c r="B5" s="216" t="s">
        <v>293</v>
      </c>
      <c r="C5" s="216"/>
      <c r="D5" s="216"/>
      <c r="E5" s="216"/>
      <c r="F5" s="216"/>
      <c r="G5" s="216"/>
      <c r="H5" s="216"/>
      <c r="I5" s="216"/>
      <c r="J5" s="216"/>
    </row>
    <row r="6" customFormat="false" ht="15" hidden="false" customHeight="true" outlineLevel="0" collapsed="false">
      <c r="B6" s="217"/>
      <c r="C6" s="2"/>
      <c r="D6" s="118"/>
      <c r="E6" s="118"/>
      <c r="J6" s="218"/>
    </row>
    <row r="7" customFormat="false" ht="15" hidden="false" customHeight="true" outlineLevel="0" collapsed="false">
      <c r="B7" s="219" t="s">
        <v>294</v>
      </c>
      <c r="C7" s="219"/>
      <c r="D7" s="219"/>
      <c r="E7" s="219"/>
      <c r="F7" s="219"/>
      <c r="G7" s="219"/>
      <c r="H7" s="219"/>
      <c r="I7" s="219"/>
      <c r="J7" s="219"/>
    </row>
    <row r="8" customFormat="false" ht="15" hidden="false" customHeight="true" outlineLevel="0" collapsed="false">
      <c r="B8" s="220"/>
      <c r="C8" s="221"/>
      <c r="D8" s="118"/>
      <c r="E8" s="118"/>
      <c r="J8" s="218"/>
    </row>
    <row r="9" customFormat="false" ht="15" hidden="false" customHeight="true" outlineLevel="0" collapsed="false">
      <c r="B9" s="222" t="s">
        <v>295</v>
      </c>
      <c r="C9" s="222"/>
      <c r="D9" s="222"/>
      <c r="E9" s="222"/>
      <c r="F9" s="222"/>
      <c r="G9" s="222"/>
      <c r="H9" s="222"/>
      <c r="I9" s="222"/>
      <c r="J9" s="222"/>
    </row>
    <row r="10" customFormat="false" ht="15" hidden="false" customHeight="true" outlineLevel="0" collapsed="false">
      <c r="B10" s="223" t="s">
        <v>296</v>
      </c>
      <c r="C10" s="223"/>
      <c r="D10" s="223"/>
      <c r="E10" s="223"/>
      <c r="F10" s="223"/>
      <c r="G10" s="223"/>
      <c r="H10" s="223"/>
      <c r="I10" s="223"/>
      <c r="J10" s="223"/>
    </row>
    <row r="11" customFormat="false" ht="15" hidden="false" customHeight="true" outlineLevel="0" collapsed="false">
      <c r="B11" s="223" t="s">
        <v>297</v>
      </c>
      <c r="C11" s="223"/>
      <c r="D11" s="223"/>
      <c r="E11" s="223"/>
      <c r="F11" s="223"/>
      <c r="G11" s="223"/>
      <c r="H11" s="223"/>
      <c r="I11" s="223"/>
      <c r="J11" s="223"/>
    </row>
    <row r="12" customFormat="false" ht="15" hidden="false" customHeight="true" outlineLevel="0" collapsed="false">
      <c r="B12" s="223" t="s">
        <v>298</v>
      </c>
      <c r="C12" s="223"/>
      <c r="D12" s="223"/>
      <c r="E12" s="223"/>
      <c r="F12" s="223"/>
      <c r="G12" s="223"/>
      <c r="H12" s="223"/>
      <c r="I12" s="223"/>
      <c r="J12" s="223"/>
    </row>
    <row r="13" customFormat="false" ht="15" hidden="false" customHeight="true" outlineLevel="0" collapsed="false">
      <c r="B13" s="223" t="s">
        <v>299</v>
      </c>
      <c r="C13" s="223"/>
      <c r="D13" s="223"/>
      <c r="E13" s="223"/>
      <c r="F13" s="223"/>
      <c r="G13" s="223"/>
      <c r="H13" s="223"/>
      <c r="I13" s="223"/>
      <c r="J13" s="223"/>
    </row>
    <row r="14" customFormat="false" ht="15" hidden="false" customHeight="true" outlineLevel="0" collapsed="false">
      <c r="B14" s="223" t="s">
        <v>300</v>
      </c>
      <c r="C14" s="223"/>
      <c r="D14" s="223"/>
      <c r="E14" s="223"/>
      <c r="F14" s="223"/>
      <c r="G14" s="223"/>
      <c r="H14" s="223"/>
      <c r="I14" s="223"/>
      <c r="J14" s="223"/>
    </row>
    <row r="15" customFormat="false" ht="15" hidden="false" customHeight="true" outlineLevel="0" collapsed="false">
      <c r="B15" s="223" t="s">
        <v>301</v>
      </c>
      <c r="C15" s="223"/>
      <c r="D15" s="223"/>
      <c r="E15" s="223"/>
      <c r="F15" s="223"/>
      <c r="G15" s="223"/>
      <c r="H15" s="223"/>
      <c r="I15" s="223"/>
      <c r="J15" s="223"/>
    </row>
    <row r="16" customFormat="false" ht="15" hidden="false" customHeight="true" outlineLevel="0" collapsed="false">
      <c r="B16" s="224" t="s">
        <v>302</v>
      </c>
      <c r="C16" s="224"/>
      <c r="D16" s="224"/>
      <c r="E16" s="224"/>
      <c r="F16" s="224"/>
      <c r="G16" s="224"/>
      <c r="H16" s="224"/>
      <c r="I16" s="224"/>
      <c r="J16" s="224"/>
    </row>
    <row r="17" customFormat="false" ht="24.75" hidden="false" customHeight="true" outlineLevel="0" collapsed="false">
      <c r="D17" s="20"/>
    </row>
    <row r="18" customFormat="false" ht="16.5" hidden="false" customHeight="true" outlineLevel="0" collapsed="false">
      <c r="B18" s="32" t="s">
        <v>303</v>
      </c>
      <c r="C18" s="32"/>
      <c r="D18" s="225" t="s">
        <v>258</v>
      </c>
      <c r="E18" s="225" t="s">
        <v>258</v>
      </c>
      <c r="F18" s="225" t="s">
        <v>258</v>
      </c>
      <c r="G18" s="226" t="s">
        <v>258</v>
      </c>
      <c r="H18" s="227" t="s">
        <v>258</v>
      </c>
      <c r="I18" s="227" t="s">
        <v>258</v>
      </c>
      <c r="J18" s="227" t="s">
        <v>258</v>
      </c>
    </row>
    <row r="19" customFormat="false" ht="16.5" hidden="false" customHeight="true" outlineLevel="0" collapsed="false">
      <c r="B19" s="32"/>
      <c r="C19" s="32"/>
      <c r="D19" s="228" t="n">
        <v>0.05</v>
      </c>
      <c r="E19" s="228" t="n">
        <v>0.04</v>
      </c>
      <c r="F19" s="228" t="n">
        <v>0.035</v>
      </c>
      <c r="G19" s="229" t="n">
        <v>0.03</v>
      </c>
      <c r="H19" s="230" t="n">
        <v>0.025</v>
      </c>
      <c r="I19" s="230" t="n">
        <v>0.02</v>
      </c>
      <c r="J19" s="230" t="n">
        <v>0.015</v>
      </c>
    </row>
    <row r="20" customFormat="false" ht="16.5" hidden="false" customHeight="true" outlineLevel="0" collapsed="false">
      <c r="B20" s="231" t="s">
        <v>304</v>
      </c>
      <c r="C20" s="232" t="s">
        <v>305</v>
      </c>
      <c r="D20" s="233" t="n">
        <v>0.04</v>
      </c>
      <c r="E20" s="233" t="n">
        <v>0.04</v>
      </c>
      <c r="F20" s="233" t="n">
        <v>0.04</v>
      </c>
      <c r="G20" s="233" t="n">
        <v>0.04</v>
      </c>
      <c r="H20" s="233" t="n">
        <v>0.04</v>
      </c>
      <c r="I20" s="233" t="n">
        <v>0.04</v>
      </c>
      <c r="J20" s="233" t="n">
        <v>0.04</v>
      </c>
    </row>
    <row r="21" customFormat="false" ht="16.5" hidden="false" customHeight="true" outlineLevel="0" collapsed="false">
      <c r="B21" s="231" t="s">
        <v>306</v>
      </c>
      <c r="C21" s="207" t="s">
        <v>307</v>
      </c>
      <c r="D21" s="234" t="n">
        <v>0.0123</v>
      </c>
      <c r="E21" s="234" t="n">
        <v>0.0123</v>
      </c>
      <c r="F21" s="234" t="n">
        <v>0.0123</v>
      </c>
      <c r="G21" s="234" t="n">
        <v>0.0123</v>
      </c>
      <c r="H21" s="234" t="n">
        <v>0.0123</v>
      </c>
      <c r="I21" s="234" t="n">
        <v>0.0123</v>
      </c>
      <c r="J21" s="234" t="n">
        <v>0.0123</v>
      </c>
    </row>
    <row r="22" customFormat="false" ht="16.5" hidden="false" customHeight="true" outlineLevel="0" collapsed="false">
      <c r="B22" s="231" t="s">
        <v>308</v>
      </c>
      <c r="C22" s="207" t="s">
        <v>309</v>
      </c>
      <c r="D22" s="234" t="n">
        <v>0.008</v>
      </c>
      <c r="E22" s="234" t="n">
        <v>0.008</v>
      </c>
      <c r="F22" s="234" t="n">
        <v>0.008</v>
      </c>
      <c r="G22" s="234" t="n">
        <v>0.008</v>
      </c>
      <c r="H22" s="234" t="n">
        <v>0.008</v>
      </c>
      <c r="I22" s="234" t="n">
        <v>0.008</v>
      </c>
      <c r="J22" s="234" t="n">
        <v>0.008</v>
      </c>
    </row>
    <row r="23" customFormat="false" ht="16.5" hidden="false" customHeight="true" outlineLevel="0" collapsed="false">
      <c r="B23" s="231" t="s">
        <v>310</v>
      </c>
      <c r="C23" s="207" t="s">
        <v>311</v>
      </c>
      <c r="D23" s="234" t="n">
        <v>0.0127</v>
      </c>
      <c r="E23" s="234" t="n">
        <v>0.0127</v>
      </c>
      <c r="F23" s="234" t="n">
        <v>0.0127</v>
      </c>
      <c r="G23" s="234" t="n">
        <v>0.0127</v>
      </c>
      <c r="H23" s="234" t="n">
        <v>0.0127</v>
      </c>
      <c r="I23" s="234" t="n">
        <v>0.0127</v>
      </c>
      <c r="J23" s="234" t="n">
        <v>0.0127</v>
      </c>
    </row>
    <row r="24" customFormat="false" ht="16.5" hidden="false" customHeight="true" outlineLevel="0" collapsed="false">
      <c r="B24" s="231" t="s">
        <v>312</v>
      </c>
      <c r="C24" s="207" t="s">
        <v>313</v>
      </c>
      <c r="D24" s="234" t="n">
        <v>0.074</v>
      </c>
      <c r="E24" s="234" t="n">
        <v>0.074</v>
      </c>
      <c r="F24" s="234" t="n">
        <v>0.074</v>
      </c>
      <c r="G24" s="234" t="n">
        <v>0.074</v>
      </c>
      <c r="H24" s="234" t="n">
        <v>0.074</v>
      </c>
      <c r="I24" s="234" t="n">
        <v>0.074</v>
      </c>
      <c r="J24" s="234" t="n">
        <v>0.074</v>
      </c>
    </row>
    <row r="25" customFormat="false" ht="16.5" hidden="false" customHeight="true" outlineLevel="0" collapsed="false">
      <c r="B25" s="231" t="s">
        <v>203</v>
      </c>
      <c r="C25" s="207" t="s">
        <v>314</v>
      </c>
      <c r="D25" s="234" t="n">
        <v>0.0065</v>
      </c>
      <c r="E25" s="234" t="n">
        <v>0.0065</v>
      </c>
      <c r="F25" s="234" t="n">
        <v>0.0065</v>
      </c>
      <c r="G25" s="234" t="n">
        <v>0.0065</v>
      </c>
      <c r="H25" s="234" t="n">
        <v>0.0065</v>
      </c>
      <c r="I25" s="234" t="n">
        <v>0.0065</v>
      </c>
      <c r="J25" s="234" t="n">
        <v>0.0065</v>
      </c>
    </row>
    <row r="26" customFormat="false" ht="16.5" hidden="false" customHeight="true" outlineLevel="0" collapsed="false">
      <c r="B26" s="231"/>
      <c r="C26" s="231" t="s">
        <v>315</v>
      </c>
      <c r="D26" s="235" t="n">
        <v>0.03</v>
      </c>
      <c r="E26" s="235" t="n">
        <v>0.03</v>
      </c>
      <c r="F26" s="235" t="n">
        <v>0.03</v>
      </c>
      <c r="G26" s="235" t="n">
        <v>0.03</v>
      </c>
      <c r="H26" s="235" t="n">
        <v>0.03</v>
      </c>
      <c r="I26" s="235" t="n">
        <v>0.03</v>
      </c>
      <c r="J26" s="235" t="n">
        <v>0.03</v>
      </c>
    </row>
    <row r="27" customFormat="false" ht="16.5" hidden="false" customHeight="true" outlineLevel="0" collapsed="false">
      <c r="B27" s="231"/>
      <c r="C27" s="231" t="s">
        <v>258</v>
      </c>
      <c r="D27" s="235" t="n">
        <v>0.05</v>
      </c>
      <c r="E27" s="235" t="n">
        <v>0.04</v>
      </c>
      <c r="F27" s="234" t="n">
        <v>0.035</v>
      </c>
      <c r="G27" s="235" t="n">
        <v>0.03</v>
      </c>
      <c r="H27" s="235" t="n">
        <v>0.025</v>
      </c>
      <c r="I27" s="235" t="n">
        <v>0.02</v>
      </c>
      <c r="J27" s="234" t="n">
        <v>0.015</v>
      </c>
    </row>
    <row r="28" customFormat="false" ht="16.5" hidden="false" customHeight="true" outlineLevel="0" collapsed="false">
      <c r="B28" s="231"/>
      <c r="C28" s="231" t="s">
        <v>316</v>
      </c>
      <c r="D28" s="235" t="n">
        <v>0.045</v>
      </c>
      <c r="E28" s="235" t="n">
        <v>0.045</v>
      </c>
      <c r="F28" s="235" t="n">
        <v>0.045</v>
      </c>
      <c r="G28" s="235" t="n">
        <v>0.045</v>
      </c>
      <c r="H28" s="235" t="n">
        <v>0.045</v>
      </c>
      <c r="I28" s="235" t="n">
        <v>0.045</v>
      </c>
      <c r="J28" s="235" t="n">
        <v>0.045</v>
      </c>
    </row>
    <row r="29" customFormat="false" ht="19.5" hidden="false" customHeight="true" outlineLevel="0" collapsed="false">
      <c r="B29" s="116" t="s">
        <v>317</v>
      </c>
      <c r="C29" s="116"/>
      <c r="D29" s="236" t="n">
        <f aca="false">(((1+D22+D20+D23)*(1+D21)*(1+D24))/(1-(D25+D26+D27+D28))-1)</f>
        <v>0.327811006493955</v>
      </c>
      <c r="E29" s="236" t="n">
        <f aca="false">(((1+E22+E20+E23)*(1+E21)*(1+E24))/(1-(E25+E26+E27+E28))-1)</f>
        <v>0.312696481661924</v>
      </c>
      <c r="F29" s="236" t="n">
        <f aca="false">(((1+F22+F20+F23)*(1+F21)*(1+F24))/(1-(F25+F26+F27+F28))-1)</f>
        <v>0.305267525908319</v>
      </c>
      <c r="G29" s="236" t="n">
        <f aca="false">(((1+G22+G20+G23)*(1+G21)*(1+G24))/(1-(G25+G26+G27+G28))-1)</f>
        <v>0.297922182487338</v>
      </c>
      <c r="H29" s="236" t="n">
        <f aca="false">(((1+H22+H20+H23)*(1+H21)*(1+H24))/(1-(H25+H26+H27+H28))-1)</f>
        <v>0.29065904772244</v>
      </c>
      <c r="I29" s="236" t="n">
        <f aca="false">(((1+I22+I20+I23)*(1+I21)*(1+I24))/(1-(I25+I26+I27+I28))-1)</f>
        <v>0.28347674918197</v>
      </c>
      <c r="J29" s="236" t="n">
        <f aca="false">(((1+J22+J20+J23)*(1+J21)*(1+J24))/(1-(J25+J26+J27+J28))-1)</f>
        <v>0.27637394481461</v>
      </c>
    </row>
    <row r="30" customFormat="false" ht="19.5" hidden="false" customHeight="true" outlineLevel="0" collapsed="false">
      <c r="B30" s="237" t="s">
        <v>318</v>
      </c>
      <c r="C30" s="237"/>
      <c r="D30" s="238" t="n">
        <f aca="false">ROUND(D29,4)</f>
        <v>0.3278</v>
      </c>
      <c r="E30" s="238" t="n">
        <f aca="false">ROUND(E29,4)</f>
        <v>0.3127</v>
      </c>
      <c r="F30" s="238" t="n">
        <f aca="false">ROUND(F29,4)</f>
        <v>0.3053</v>
      </c>
      <c r="G30" s="238" t="n">
        <f aca="false">ROUND(G29,4)</f>
        <v>0.2979</v>
      </c>
      <c r="H30" s="238" t="n">
        <f aca="false">ROUND(H29,4)</f>
        <v>0.2907</v>
      </c>
      <c r="I30" s="238" t="n">
        <f aca="false">ROUND(I29,4)</f>
        <v>0.2835</v>
      </c>
      <c r="J30" s="238" t="n">
        <f aca="false">ROUND(J29,4)</f>
        <v>0.2764</v>
      </c>
    </row>
    <row r="31" customFormat="false" ht="24.75" hidden="false" customHeight="true" outlineLevel="0" collapsed="false">
      <c r="B31" s="239"/>
      <c r="C31" s="239"/>
      <c r="D31" s="83"/>
      <c r="E31" s="83"/>
      <c r="F31" s="83"/>
      <c r="G31" s="83"/>
      <c r="H31" s="83"/>
      <c r="I31" s="83"/>
      <c r="J31" s="83"/>
    </row>
    <row r="32" customFormat="false" ht="16.5" hidden="false" customHeight="true" outlineLevel="0" collapsed="false">
      <c r="B32" s="32" t="s">
        <v>319</v>
      </c>
      <c r="C32" s="32"/>
      <c r="D32" s="225" t="s">
        <v>258</v>
      </c>
      <c r="E32" s="225" t="s">
        <v>258</v>
      </c>
      <c r="F32" s="225" t="s">
        <v>258</v>
      </c>
      <c r="G32" s="226" t="s">
        <v>258</v>
      </c>
      <c r="H32" s="227" t="s">
        <v>258</v>
      </c>
      <c r="I32" s="227" t="s">
        <v>258</v>
      </c>
      <c r="J32" s="227" t="s">
        <v>258</v>
      </c>
    </row>
    <row r="33" customFormat="false" ht="16.5" hidden="false" customHeight="true" outlineLevel="0" collapsed="false">
      <c r="B33" s="32"/>
      <c r="C33" s="32"/>
      <c r="D33" s="228" t="n">
        <v>0.05</v>
      </c>
      <c r="E33" s="228" t="n">
        <v>0.04</v>
      </c>
      <c r="F33" s="228" t="n">
        <v>0.035</v>
      </c>
      <c r="G33" s="229" t="n">
        <v>0.03</v>
      </c>
      <c r="H33" s="230" t="n">
        <v>0.025</v>
      </c>
      <c r="I33" s="230" t="n">
        <v>0.02</v>
      </c>
      <c r="J33" s="230" t="n">
        <v>0.015</v>
      </c>
    </row>
    <row r="34" customFormat="false" ht="16.5" hidden="false" customHeight="true" outlineLevel="0" collapsed="false">
      <c r="B34" s="231" t="s">
        <v>304</v>
      </c>
      <c r="C34" s="232" t="s">
        <v>305</v>
      </c>
      <c r="D34" s="234" t="n">
        <v>0.0345</v>
      </c>
      <c r="E34" s="234" t="n">
        <v>0.0345</v>
      </c>
      <c r="F34" s="234" t="n">
        <v>0.0345</v>
      </c>
      <c r="G34" s="234" t="n">
        <v>0.0345</v>
      </c>
      <c r="H34" s="234" t="n">
        <v>0.0345</v>
      </c>
      <c r="I34" s="234" t="n">
        <v>0.0345</v>
      </c>
      <c r="J34" s="234" t="n">
        <v>0.0345</v>
      </c>
    </row>
    <row r="35" customFormat="false" ht="16.5" hidden="false" customHeight="true" outlineLevel="0" collapsed="false">
      <c r="B35" s="231" t="s">
        <v>306</v>
      </c>
      <c r="C35" s="207" t="s">
        <v>307</v>
      </c>
      <c r="D35" s="234" t="n">
        <v>0.0085</v>
      </c>
      <c r="E35" s="234" t="n">
        <v>0.0085</v>
      </c>
      <c r="F35" s="234" t="n">
        <v>0.0085</v>
      </c>
      <c r="G35" s="234" t="n">
        <v>0.0085</v>
      </c>
      <c r="H35" s="234" t="n">
        <v>0.0085</v>
      </c>
      <c r="I35" s="234" t="n">
        <v>0.0085</v>
      </c>
      <c r="J35" s="234" t="n">
        <v>0.0085</v>
      </c>
    </row>
    <row r="36" customFormat="false" ht="16.5" hidden="false" customHeight="true" outlineLevel="0" collapsed="false">
      <c r="B36" s="231" t="s">
        <v>308</v>
      </c>
      <c r="C36" s="207" t="s">
        <v>309</v>
      </c>
      <c r="D36" s="234" t="n">
        <v>0.0048</v>
      </c>
      <c r="E36" s="234" t="n">
        <v>0.0048</v>
      </c>
      <c r="F36" s="234" t="n">
        <v>0.0048</v>
      </c>
      <c r="G36" s="234" t="n">
        <v>0.0048</v>
      </c>
      <c r="H36" s="234" t="n">
        <v>0.0048</v>
      </c>
      <c r="I36" s="234" t="n">
        <v>0.0048</v>
      </c>
      <c r="J36" s="234" t="n">
        <v>0.0048</v>
      </c>
    </row>
    <row r="37" customFormat="false" ht="16.5" hidden="false" customHeight="true" outlineLevel="0" collapsed="false">
      <c r="B37" s="231" t="s">
        <v>310</v>
      </c>
      <c r="C37" s="207" t="s">
        <v>311</v>
      </c>
      <c r="D37" s="234" t="n">
        <v>0.0085</v>
      </c>
      <c r="E37" s="234" t="n">
        <v>0.0085</v>
      </c>
      <c r="F37" s="234" t="n">
        <v>0.0085</v>
      </c>
      <c r="G37" s="234" t="n">
        <v>0.0085</v>
      </c>
      <c r="H37" s="234" t="n">
        <v>0.0085</v>
      </c>
      <c r="I37" s="234" t="n">
        <v>0.0085</v>
      </c>
      <c r="J37" s="234" t="n">
        <v>0.0085</v>
      </c>
    </row>
    <row r="38" customFormat="false" ht="16.5" hidden="false" customHeight="true" outlineLevel="0" collapsed="false">
      <c r="B38" s="231" t="s">
        <v>312</v>
      </c>
      <c r="C38" s="207" t="s">
        <v>313</v>
      </c>
      <c r="D38" s="234" t="n">
        <v>0.0511</v>
      </c>
      <c r="E38" s="234" t="n">
        <v>0.0511</v>
      </c>
      <c r="F38" s="234" t="n">
        <v>0.0511</v>
      </c>
      <c r="G38" s="234" t="n">
        <v>0.0511</v>
      </c>
      <c r="H38" s="234" t="n">
        <v>0.0511</v>
      </c>
      <c r="I38" s="234" t="n">
        <v>0.0511</v>
      </c>
      <c r="J38" s="234" t="n">
        <v>0.0511</v>
      </c>
    </row>
    <row r="39" customFormat="false" ht="16.5" hidden="false" customHeight="true" outlineLevel="0" collapsed="false">
      <c r="B39" s="231" t="s">
        <v>203</v>
      </c>
      <c r="C39" s="207" t="s">
        <v>314</v>
      </c>
      <c r="D39" s="234" t="n">
        <v>0.0065</v>
      </c>
      <c r="E39" s="234" t="n">
        <v>0.0065</v>
      </c>
      <c r="F39" s="234" t="n">
        <v>0.0065</v>
      </c>
      <c r="G39" s="234" t="n">
        <v>0.0065</v>
      </c>
      <c r="H39" s="234" t="n">
        <v>0.0065</v>
      </c>
      <c r="I39" s="234" t="n">
        <v>0.0065</v>
      </c>
      <c r="J39" s="234" t="n">
        <v>0.0065</v>
      </c>
    </row>
    <row r="40" customFormat="false" ht="16.5" hidden="false" customHeight="true" outlineLevel="0" collapsed="false">
      <c r="B40" s="231"/>
      <c r="C40" s="231" t="s">
        <v>315</v>
      </c>
      <c r="D40" s="235" t="n">
        <v>0.03</v>
      </c>
      <c r="E40" s="235" t="n">
        <v>0.03</v>
      </c>
      <c r="F40" s="235" t="n">
        <v>0.03</v>
      </c>
      <c r="G40" s="235" t="n">
        <v>0.03</v>
      </c>
      <c r="H40" s="235" t="n">
        <v>0.03</v>
      </c>
      <c r="I40" s="235" t="n">
        <v>0.03</v>
      </c>
      <c r="J40" s="235" t="n">
        <v>0.03</v>
      </c>
    </row>
    <row r="41" customFormat="false" ht="16.5" hidden="false" customHeight="true" outlineLevel="0" collapsed="false">
      <c r="B41" s="231"/>
      <c r="C41" s="231" t="s">
        <v>258</v>
      </c>
      <c r="D41" s="235" t="n">
        <v>0</v>
      </c>
      <c r="E41" s="235" t="n">
        <v>0</v>
      </c>
      <c r="F41" s="234" t="n">
        <v>0</v>
      </c>
      <c r="G41" s="235" t="n">
        <v>0</v>
      </c>
      <c r="H41" s="235" t="n">
        <v>0</v>
      </c>
      <c r="I41" s="235" t="n">
        <v>0</v>
      </c>
      <c r="J41" s="234" t="n">
        <v>0</v>
      </c>
    </row>
    <row r="42" customFormat="false" ht="16.5" hidden="false" customHeight="true" outlineLevel="0" collapsed="false">
      <c r="B42" s="231"/>
      <c r="C42" s="231" t="s">
        <v>316</v>
      </c>
      <c r="D42" s="235" t="n">
        <v>0.045</v>
      </c>
      <c r="E42" s="235" t="n">
        <v>0.045</v>
      </c>
      <c r="F42" s="235" t="n">
        <v>0.045</v>
      </c>
      <c r="G42" s="235" t="n">
        <v>0.045</v>
      </c>
      <c r="H42" s="235" t="n">
        <v>0.045</v>
      </c>
      <c r="I42" s="235" t="n">
        <v>0.045</v>
      </c>
      <c r="J42" s="235" t="n">
        <v>0.045</v>
      </c>
    </row>
    <row r="43" customFormat="false" ht="16.5" hidden="false" customHeight="true" outlineLevel="0" collapsed="false">
      <c r="B43" s="240" t="s">
        <v>317</v>
      </c>
      <c r="C43" s="240"/>
      <c r="D43" s="236" t="n">
        <f aca="false">(((1+D36+D34+D37)*(1+D35)*(1+D38))/(1-(D39+D40+D41+D42))-1)</f>
        <v>0.209258564975503</v>
      </c>
      <c r="E43" s="236" t="n">
        <f aca="false">(((1+E36+E34+E37)*(1+E35)*(1+E38))/(1-(E39+E40+E41+E42))-1)</f>
        <v>0.209258564975503</v>
      </c>
      <c r="F43" s="236" t="n">
        <f aca="false">(((1+F36+F34+F37)*(1+F35)*(1+F38))/(1-(F39+F40+F41+F42))-1)</f>
        <v>0.209258564975503</v>
      </c>
      <c r="G43" s="236" t="n">
        <f aca="false">(((1+G36+G34+G37)*(1+G35)*(1+G38))/(1-(G39+G40+G41+G42))-1)</f>
        <v>0.209258564975503</v>
      </c>
      <c r="H43" s="236" t="n">
        <f aca="false">(((1+H36+H34+H37)*(1+H35)*(1+H38))/(1-(H39+H40+H41+H42))-1)</f>
        <v>0.209258564975503</v>
      </c>
      <c r="I43" s="236" t="n">
        <f aca="false">(((1+I36+I34+I37)*(1+I35)*(1+I38))/(1-(I39+I40+I41+I42))-1)</f>
        <v>0.209258564975503</v>
      </c>
      <c r="J43" s="236" t="n">
        <f aca="false">(((1+J36+J34+J37)*(1+J35)*(1+J38))/(1-(J39+J40+J41+J42))-1)</f>
        <v>0.209258564975503</v>
      </c>
    </row>
    <row r="44" customFormat="false" ht="19.5" hidden="false" customHeight="true" outlineLevel="0" collapsed="false">
      <c r="B44" s="241" t="s">
        <v>318</v>
      </c>
      <c r="C44" s="241"/>
      <c r="D44" s="238" t="n">
        <f aca="false">ROUND(D43,4)</f>
        <v>0.2093</v>
      </c>
      <c r="E44" s="238" t="n">
        <f aca="false">ROUND(E43,4)</f>
        <v>0.2093</v>
      </c>
      <c r="F44" s="238" t="n">
        <f aca="false">ROUND(F43,4)</f>
        <v>0.2093</v>
      </c>
      <c r="G44" s="238" t="n">
        <f aca="false">ROUND(G43,4)</f>
        <v>0.2093</v>
      </c>
      <c r="H44" s="238" t="n">
        <f aca="false">ROUND(H43,4)</f>
        <v>0.2093</v>
      </c>
      <c r="I44" s="238" t="n">
        <f aca="false">ROUND(I43,4)</f>
        <v>0.2093</v>
      </c>
      <c r="J44" s="238" t="n">
        <f aca="false">ROUND(J43,4)</f>
        <v>0.2093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2:IO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1" width="32.38"/>
    <col collapsed="false" customWidth="true" hidden="false" outlineLevel="0" max="3" min="3" style="16" width="9.12"/>
    <col collapsed="false" customWidth="true" hidden="false" outlineLevel="0" max="4" min="4" style="16" width="12.25"/>
    <col collapsed="false" customWidth="true" hidden="false" outlineLevel="0" max="5" min="5" style="16" width="13.62"/>
    <col collapsed="false" customWidth="true" hidden="false" outlineLevel="0" max="6" min="6" style="16" width="7"/>
    <col collapsed="false" customWidth="true" hidden="false" outlineLevel="0" max="7" min="7" style="16" width="11.88"/>
    <col collapsed="false" customWidth="true" hidden="false" outlineLevel="0" max="8" min="8" style="16" width="13.25"/>
    <col collapsed="false" customWidth="true" hidden="false" outlineLevel="0" max="9" min="9" style="16" width="12.76"/>
    <col collapsed="false" customWidth="true" hidden="false" outlineLevel="0" max="11" min="10" style="16" width="13"/>
    <col collapsed="false" customWidth="true" hidden="false" outlineLevel="0" max="13" min="12" style="16" width="9.25"/>
    <col collapsed="false" customWidth="true" hidden="false" outlineLevel="0" max="248" min="14" style="16" width="10.62"/>
    <col collapsed="false" customWidth="true" hidden="false" outlineLevel="0" max="1024" min="1019" style="1" width="8.5"/>
  </cols>
  <sheetData>
    <row r="2" customFormat="false" ht="24.75" hidden="false" customHeight="true" outlineLevel="0" collapsed="false">
      <c r="B2" s="42" t="str">
        <f aca="false">"DIVISÃO DOS CUSTOS POR ALÍQUOTA DE ISSQN - "&amp;'Valor da Contratação'!B7&amp;""</f>
        <v>DIVISÃO DOS CUSTOS POR ALÍQUOTA DE ISSQN - POLO I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customFormat="false" ht="16.5" hidden="false" customHeight="true" outlineLevel="0" collapsed="false"/>
    <row r="4" customFormat="false" ht="45.75" hidden="false" customHeight="true" outlineLevel="0" collapsed="false">
      <c r="B4" s="242" t="s">
        <v>41</v>
      </c>
      <c r="C4" s="243" t="s">
        <v>320</v>
      </c>
      <c r="D4" s="243" t="s">
        <v>321</v>
      </c>
      <c r="E4" s="243" t="s">
        <v>322</v>
      </c>
      <c r="F4" s="244"/>
      <c r="G4" s="243" t="s">
        <v>323</v>
      </c>
      <c r="H4" s="243" t="s">
        <v>324</v>
      </c>
      <c r="I4" s="243" t="s">
        <v>325</v>
      </c>
      <c r="J4" s="243" t="s">
        <v>326</v>
      </c>
      <c r="K4" s="243" t="s">
        <v>327</v>
      </c>
      <c r="L4" s="243" t="s">
        <v>328</v>
      </c>
      <c r="M4" s="243" t="s">
        <v>329</v>
      </c>
    </row>
    <row r="5" customFormat="false" ht="15" hidden="false" customHeight="true" outlineLevel="0" collapsed="false">
      <c r="B5" s="110" t="str">
        <f aca="false">'Base Maringá'!B7</f>
        <v>APS ASTORGA</v>
      </c>
      <c r="C5" s="245" t="n">
        <f aca="false">VLOOKUP(B5,Unidades!$D$5:$G$29,4,)</f>
        <v>0.03</v>
      </c>
      <c r="D5" s="246" t="n">
        <f aca="false">'Base Maringá'!AD7*12+'Base Maringá'!AE7*4+'Base Maringá'!AF7*2+'Base Maringá'!AG7</f>
        <v>11197.8670369088</v>
      </c>
      <c r="E5" s="246" t="n">
        <f aca="false">'Base Maringá'!AK7*12+'Base Maringá'!AL7*4+'Base Maringá'!AM7*2+'Base Maringá'!AN7</f>
        <v>14533.7116272039</v>
      </c>
      <c r="G5" s="235" t="n">
        <v>0.02</v>
      </c>
      <c r="H5" s="247" t="n">
        <f aca="false">SUMIF(C$5:C$29,G5,D$5:D$29)</f>
        <v>59338.8145299327</v>
      </c>
      <c r="I5" s="247" t="n">
        <f aca="false">SUMIF(C$5:C$29,G5,E$5:E$29)</f>
        <v>76161.3684491686</v>
      </c>
      <c r="J5" s="247" t="n">
        <f aca="false">H5*4</f>
        <v>237355.258119731</v>
      </c>
      <c r="K5" s="247" t="n">
        <f aca="false">I5*4</f>
        <v>304645.473796675</v>
      </c>
      <c r="L5" s="248" t="n">
        <f aca="false">H5/H$13</f>
        <v>0.207677308100615</v>
      </c>
      <c r="M5" s="248" t="n">
        <f aca="false">I5/I$13</f>
        <v>0.205021218569091</v>
      </c>
    </row>
    <row r="6" customFormat="false" ht="15" hidden="false" customHeight="true" outlineLevel="0" collapsed="false">
      <c r="B6" s="110" t="str">
        <f aca="false">'Base Maringá'!B8</f>
        <v>APS CAMPO MOURÃO</v>
      </c>
      <c r="C6" s="245" t="n">
        <f aca="false">VLOOKUP(B6,Unidades!$D$5:$G$29,4,)</f>
        <v>0.05</v>
      </c>
      <c r="D6" s="246" t="n">
        <f aca="false">'Base Maringá'!AD8*12+'Base Maringá'!AE8*4+'Base Maringá'!AF8*2+'Base Maringá'!AG8</f>
        <v>14946.1306617851</v>
      </c>
      <c r="E6" s="246" t="n">
        <f aca="false">'Base Maringá'!AK8*12+'Base Maringá'!AL8*4+'Base Maringá'!AM8*2+'Base Maringá'!AN8</f>
        <v>19845.4722927182</v>
      </c>
      <c r="G6" s="235" t="n">
        <v>0.025</v>
      </c>
      <c r="H6" s="247" t="n">
        <f aca="false">SUMIF(C$5:C$29,G6,D$5:D$29)</f>
        <v>0</v>
      </c>
      <c r="I6" s="247" t="n">
        <f aca="false">SUMIF(C$5:C$29,G6,E$5:E$29)</f>
        <v>0</v>
      </c>
      <c r="J6" s="247" t="n">
        <f aca="false">H6*4</f>
        <v>0</v>
      </c>
      <c r="K6" s="247" t="n">
        <f aca="false">I6*4</f>
        <v>0</v>
      </c>
      <c r="L6" s="248" t="n">
        <f aca="false">H6/H$13</f>
        <v>0</v>
      </c>
      <c r="M6" s="248" t="n">
        <f aca="false">I6/I$13</f>
        <v>0</v>
      </c>
    </row>
    <row r="7" customFormat="false" ht="15" hidden="false" customHeight="true" outlineLevel="0" collapsed="false">
      <c r="B7" s="110" t="str">
        <f aca="false">'Base Maringá'!B9</f>
        <v>APS CIANORTE</v>
      </c>
      <c r="C7" s="245" t="n">
        <f aca="false">VLOOKUP(B7,Unidades!$D$5:$G$29,4,)</f>
        <v>0.03</v>
      </c>
      <c r="D7" s="246" t="n">
        <f aca="false">'Base Maringá'!AD9*12+'Base Maringá'!AE9*4+'Base Maringá'!AF9*2+'Base Maringá'!AG9</f>
        <v>8366.80003690877</v>
      </c>
      <c r="E7" s="246" t="n">
        <f aca="false">'Base Maringá'!AK9*12+'Base Maringá'!AL9*4+'Base Maringá'!AM9*2+'Base Maringá'!AN9</f>
        <v>10859.2697679039</v>
      </c>
      <c r="G7" s="235" t="n">
        <v>0.03</v>
      </c>
      <c r="H7" s="247" t="n">
        <f aca="false">SUMIF(C$5:C$29,G7,D$5:D$29)</f>
        <v>149358.199682713</v>
      </c>
      <c r="I7" s="247" t="n">
        <f aca="false">SUMIF(C$5:C$29,G7,E$5:E$29)</f>
        <v>193852.007368194</v>
      </c>
      <c r="J7" s="247" t="n">
        <f aca="false">H7*4</f>
        <v>597432.798730853</v>
      </c>
      <c r="K7" s="247" t="n">
        <f aca="false">I7*4</f>
        <v>775408.029472774</v>
      </c>
      <c r="L7" s="248" t="n">
        <f aca="false">H7/H$13</f>
        <v>0.522732196431279</v>
      </c>
      <c r="M7" s="248" t="n">
        <f aca="false">I7/I$13</f>
        <v>0.521836405804828</v>
      </c>
    </row>
    <row r="8" customFormat="false" ht="15" hidden="false" customHeight="true" outlineLevel="0" collapsed="false">
      <c r="B8" s="110" t="str">
        <f aca="false">'Base Maringá'!B10</f>
        <v>APS COLORADO</v>
      </c>
      <c r="C8" s="245" t="n">
        <f aca="false">VLOOKUP(B8,Unidades!$D$5:$G$29,4,)</f>
        <v>0.03</v>
      </c>
      <c r="D8" s="246" t="n">
        <f aca="false">'Base Maringá'!AD10*12+'Base Maringá'!AE10*4+'Base Maringá'!AF10*2+'Base Maringá'!AG10</f>
        <v>8518.65803690877</v>
      </c>
      <c r="E8" s="246" t="n">
        <f aca="false">'Base Maringá'!AK10*12+'Base Maringá'!AL10*4+'Base Maringá'!AM10*2+'Base Maringá'!AN10</f>
        <v>11056.3662661039</v>
      </c>
      <c r="G8" s="235" t="n">
        <v>0.035</v>
      </c>
      <c r="H8" s="247" t="n">
        <f aca="false">SUMIF(C$5:C$29,G8,D$5:D$29)</f>
        <v>0</v>
      </c>
      <c r="I8" s="247" t="n">
        <f aca="false">SUMIF(C$5:C$29,G8,E$5:E$29)</f>
        <v>0</v>
      </c>
      <c r="J8" s="247" t="n">
        <f aca="false">H8*4</f>
        <v>0</v>
      </c>
      <c r="K8" s="247" t="n">
        <f aca="false">I8*4</f>
        <v>0</v>
      </c>
      <c r="L8" s="248" t="n">
        <f aca="false">H8/H$13</f>
        <v>0</v>
      </c>
      <c r="M8" s="248" t="n">
        <f aca="false">I8/I$13</f>
        <v>0</v>
      </c>
    </row>
    <row r="9" s="29" customFormat="true" ht="15" hidden="false" customHeight="true" outlineLevel="0" collapsed="false">
      <c r="B9" s="110" t="str">
        <f aca="false">'Base Maringá'!B11</f>
        <v>APS CRUZEIRO DO OESTE</v>
      </c>
      <c r="C9" s="245" t="n">
        <f aca="false">VLOOKUP(B9,Unidades!$D$5:$G$29,4,)</f>
        <v>0.04</v>
      </c>
      <c r="D9" s="246" t="n">
        <f aca="false">'Base Maringá'!AD11*12+'Base Maringá'!AE11*4+'Base Maringá'!AF11*2+'Base Maringá'!AG11</f>
        <v>9896.46653690876</v>
      </c>
      <c r="E9" s="246" t="n">
        <f aca="false">'Base Maringá'!AK11*12+'Base Maringá'!AL11*4+'Base Maringá'!AM11*2+'Base Maringá'!AN11</f>
        <v>12991.0916230001</v>
      </c>
      <c r="G9" s="235" t="n">
        <v>0.04</v>
      </c>
      <c r="H9" s="247" t="n">
        <f aca="false">SUMIF(C$5:C$29,G9,D$5:D$29)</f>
        <v>53781.0558386602</v>
      </c>
      <c r="I9" s="247" t="n">
        <f aca="false">SUMIF(C$5:C$29,G9,E$5:E$29)</f>
        <v>70598.3919994092</v>
      </c>
      <c r="J9" s="247" t="n">
        <f aca="false">H9*4</f>
        <v>215124.223354641</v>
      </c>
      <c r="K9" s="247" t="n">
        <f aca="false">I9*4</f>
        <v>282393.567997637</v>
      </c>
      <c r="L9" s="248" t="n">
        <f aca="false">H9/H$13</f>
        <v>0.188225952807798</v>
      </c>
      <c r="M9" s="248" t="n">
        <f aca="false">I9/I$13</f>
        <v>0.190046064710583</v>
      </c>
      <c r="IO9" s="33"/>
    </row>
    <row r="10" s="29" customFormat="true" ht="15" hidden="false" customHeight="true" outlineLevel="0" collapsed="false">
      <c r="B10" s="110" t="str">
        <f aca="false">'Base Maringá'!B12</f>
        <v>APS LOANDA</v>
      </c>
      <c r="C10" s="245" t="n">
        <f aca="false">VLOOKUP(B10,Unidades!$D$5:$G$29,4,)</f>
        <v>0.05</v>
      </c>
      <c r="D10" s="246" t="n">
        <f aca="false">'Base Maringá'!AD12*12+'Base Maringá'!AE12*4+'Base Maringá'!AF12*2+'Base Maringá'!AG12</f>
        <v>8301.83778690877</v>
      </c>
      <c r="E10" s="246" t="n">
        <f aca="false">'Base Maringá'!AK12*12+'Base Maringá'!AL12*4+'Base Maringá'!AM12*2+'Base Maringá'!AN12</f>
        <v>11023.1802134575</v>
      </c>
      <c r="G10" s="235" t="n">
        <v>0.045</v>
      </c>
      <c r="H10" s="247" t="n">
        <f aca="false">SUMIF(C$5:C$29,G10,D$5:D$29)</f>
        <v>0</v>
      </c>
      <c r="I10" s="247" t="n">
        <f aca="false">SUMIF(C$5:C$29,G10,E$5:E$29)</f>
        <v>0</v>
      </c>
      <c r="J10" s="247" t="n">
        <f aca="false">H10*4</f>
        <v>0</v>
      </c>
      <c r="K10" s="247" t="n">
        <f aca="false">I10*4</f>
        <v>0</v>
      </c>
      <c r="L10" s="248" t="n">
        <f aca="false">H10/H$13</f>
        <v>0</v>
      </c>
      <c r="M10" s="248" t="n">
        <f aca="false">I10/I$13</f>
        <v>0</v>
      </c>
      <c r="IO10" s="33"/>
    </row>
    <row r="11" customFormat="false" ht="15" hidden="false" customHeight="true" outlineLevel="0" collapsed="false">
      <c r="B11" s="110" t="str">
        <f aca="false">'Base Maringá'!B13</f>
        <v>APS MANDAGUARI</v>
      </c>
      <c r="C11" s="245" t="n">
        <f aca="false">VLOOKUP(B11,Unidades!$D$5:$G$29,4,)</f>
        <v>0.03</v>
      </c>
      <c r="D11" s="246" t="n">
        <f aca="false">'Base Maringá'!AD13*12+'Base Maringá'!AE13*4+'Base Maringá'!AF13*2+'Base Maringá'!AG13</f>
        <v>7683.43903690877</v>
      </c>
      <c r="E11" s="246" t="n">
        <f aca="false">'Base Maringá'!AK13*12+'Base Maringá'!AL13*4+'Base Maringá'!AM13*2+'Base Maringá'!AN13</f>
        <v>9972.33552600389</v>
      </c>
      <c r="G11" s="235" t="n">
        <v>0.05</v>
      </c>
      <c r="H11" s="247" t="n">
        <f aca="false">SUMIF(C$5:C$29,G11,D$5:D$29)</f>
        <v>23247.9684486939</v>
      </c>
      <c r="I11" s="247" t="n">
        <f aca="false">SUMIF(C$5:C$29,G11,E$5:E$29)</f>
        <v>30868.6525061757</v>
      </c>
      <c r="J11" s="247" t="n">
        <f aca="false">H11*4</f>
        <v>92991.8737947754</v>
      </c>
      <c r="K11" s="247" t="n">
        <f aca="false">I11*4</f>
        <v>123474.610024703</v>
      </c>
      <c r="L11" s="248" t="n">
        <f aca="false">H11/H$13</f>
        <v>0.0813645426603073</v>
      </c>
      <c r="M11" s="248" t="n">
        <f aca="false">I11/I$13</f>
        <v>0.0830963109154985</v>
      </c>
    </row>
    <row r="12" customFormat="false" ht="15" hidden="false" customHeight="true" outlineLevel="0" collapsed="false">
      <c r="B12" s="110" t="str">
        <f aca="false">'Base Maringá'!B14</f>
        <v>APS NOVA ESPERANÇA</v>
      </c>
      <c r="C12" s="245" t="n">
        <f aca="false">VLOOKUP(B12,Unidades!$D$5:$G$29,4,)</f>
        <v>0.02</v>
      </c>
      <c r="D12" s="246" t="n">
        <f aca="false">'Base Maringá'!AD14*12+'Base Maringá'!AE14*4+'Base Maringá'!AF14*2+'Base Maringá'!AG14</f>
        <v>8518.65803690877</v>
      </c>
      <c r="E12" s="246" t="n">
        <f aca="false">'Base Maringá'!AK14*12+'Base Maringá'!AL14*4+'Base Maringá'!AM14*2+'Base Maringá'!AN14</f>
        <v>10933.6975903724</v>
      </c>
      <c r="G12" s="17"/>
    </row>
    <row r="13" s="16" customFormat="true" ht="15" hidden="false" customHeight="true" outlineLevel="0" collapsed="false">
      <c r="B13" s="110" t="str">
        <f aca="false">'Base Maringá'!B15</f>
        <v>APS PAIÇANDU</v>
      </c>
      <c r="C13" s="245" t="n">
        <f aca="false">VLOOKUP(B13,Unidades!$D$5:$G$29,4,)</f>
        <v>0.03</v>
      </c>
      <c r="D13" s="246" t="n">
        <f aca="false">'Base Maringá'!AD15*12+'Base Maringá'!AE15*4+'Base Maringá'!AF15*2+'Base Maringá'!AG15</f>
        <v>8366.80003690877</v>
      </c>
      <c r="E13" s="246" t="n">
        <f aca="false">'Base Maringá'!AK15*12+'Base Maringá'!AL15*4+'Base Maringá'!AM15*2+'Base Maringá'!AN15</f>
        <v>10859.2697679039</v>
      </c>
      <c r="G13" s="243" t="s">
        <v>100</v>
      </c>
      <c r="H13" s="249" t="n">
        <f aca="false">SUM(H5:H11)</f>
        <v>285726.0385</v>
      </c>
      <c r="I13" s="249" t="n">
        <f aca="false">SUM(I5:I11)</f>
        <v>371480.420322947</v>
      </c>
      <c r="J13" s="249" t="n">
        <f aca="false">SUM(J5:J11)</f>
        <v>1142904.154</v>
      </c>
      <c r="K13" s="249" t="n">
        <f aca="false">SUM(K5:K11)</f>
        <v>1485921.68129179</v>
      </c>
      <c r="L13" s="250" t="n">
        <f aca="false">SUM(L5:L11)</f>
        <v>1</v>
      </c>
      <c r="M13" s="250" t="n">
        <f aca="false">SUM(M5:M11)</f>
        <v>1</v>
      </c>
    </row>
    <row r="14" s="16" customFormat="true" ht="15" hidden="false" customHeight="true" outlineLevel="0" collapsed="false">
      <c r="B14" s="110" t="str">
        <f aca="false">'Base Maringá'!B16</f>
        <v>APS PARANAVAÍ</v>
      </c>
      <c r="C14" s="245" t="n">
        <f aca="false">VLOOKUP(B14,Unidades!$D$5:$G$29,4,)</f>
        <v>0.04</v>
      </c>
      <c r="D14" s="246" t="n">
        <f aca="false">'Base Maringá'!AD16*12+'Base Maringá'!AE16*4+'Base Maringá'!AF16*2+'Base Maringá'!AG16</f>
        <v>13061.5694117851</v>
      </c>
      <c r="E14" s="246" t="n">
        <f aca="false">'Base Maringá'!AK16*12+'Base Maringá'!AL16*4+'Base Maringá'!AM16*2+'Base Maringá'!AN16</f>
        <v>17145.9221668503</v>
      </c>
    </row>
    <row r="15" s="16" customFormat="true" ht="15" hidden="false" customHeight="true" outlineLevel="0" collapsed="false">
      <c r="B15" s="110" t="str">
        <f aca="false">'Base Maringá'!B17</f>
        <v>APS UMUARAMA</v>
      </c>
      <c r="C15" s="245" t="n">
        <f aca="false">VLOOKUP(B15,Unidades!$D$5:$G$29,4,)</f>
        <v>0.02</v>
      </c>
      <c r="D15" s="246" t="n">
        <f aca="false">'Base Maringá'!AD17*12+'Base Maringá'!AE17*4+'Base Maringá'!AF17*2+'Base Maringá'!AG17</f>
        <v>19167.8318530576</v>
      </c>
      <c r="E15" s="246" t="n">
        <f aca="false">'Base Maringá'!AK17*12+'Base Maringá'!AL17*4+'Base Maringá'!AM17*2+'Base Maringá'!AN17</f>
        <v>24601.9121833994</v>
      </c>
    </row>
    <row r="16" s="16" customFormat="true" ht="15" hidden="false" customHeight="true" outlineLevel="0" collapsed="false">
      <c r="B16" s="110" t="str">
        <f aca="false">'Base Maringá'!B18</f>
        <v>CEDOCPREV MARINGÁ</v>
      </c>
      <c r="C16" s="245" t="n">
        <f aca="false">VLOOKUP(B16,Unidades!$D$5:$G$29,4,)</f>
        <v>0.03</v>
      </c>
      <c r="D16" s="246" t="n">
        <f aca="false">'Base Maringá'!AD18*12+'Base Maringá'!AE18*4+'Base Maringá'!AF18*2+'Base Maringá'!AG18</f>
        <v>9919.17538254502</v>
      </c>
      <c r="E16" s="246" t="n">
        <f aca="false">'Base Maringá'!AK18*12+'Base Maringá'!AL18*4+'Base Maringá'!AM18*2+'Base Maringá'!AN18</f>
        <v>12874.0977290052</v>
      </c>
    </row>
    <row r="17" s="16" customFormat="true" ht="15" hidden="false" customHeight="true" outlineLevel="0" collapsed="false">
      <c r="B17" s="110" t="str">
        <f aca="false">'Base Maringá'!B19</f>
        <v>GEX/APS MARINGÁ</v>
      </c>
      <c r="C17" s="245" t="n">
        <f aca="false">VLOOKUP(B17,Unidades!$D$5:$G$29,4,)</f>
        <v>0.03</v>
      </c>
      <c r="D17" s="246" t="n">
        <f aca="false">'Base Maringá'!AD19*12+'Base Maringá'!AE19*4+'Base Maringá'!AF19*2+'Base Maringá'!AG19</f>
        <v>15978.5743530576</v>
      </c>
      <c r="E17" s="246" t="n">
        <f aca="false">'Base Maringá'!AK19*12+'Base Maringá'!AL19*4+'Base Maringá'!AM19*2+'Base Maringá'!AN19</f>
        <v>20738.5916528335</v>
      </c>
    </row>
    <row r="18" s="16" customFormat="true" ht="15" hidden="false" customHeight="true" outlineLevel="0" collapsed="false">
      <c r="B18" s="110" t="str">
        <f aca="false">'Base Cascavel'!B7</f>
        <v>APS GOIOERÊ</v>
      </c>
      <c r="C18" s="245" t="n">
        <f aca="false">VLOOKUP(B18,Unidades!$D$5:$G$29,4,)</f>
        <v>0.02</v>
      </c>
      <c r="D18" s="246" t="n">
        <f aca="false">'Base Cascavel'!AD7*12+'Base Cascavel'!AE7*4+'Base Cascavel'!AF7*2+'Base Cascavel'!AG7</f>
        <v>11932.0288161488</v>
      </c>
      <c r="E18" s="246" t="n">
        <f aca="false">'Base Cascavel'!AK7*12+'Base Cascavel'!AL7*4+'Base Cascavel'!AM7*2+'Base Cascavel'!AN7</f>
        <v>15314.758985527</v>
      </c>
    </row>
    <row r="19" s="16" customFormat="true" ht="15" hidden="false" customHeight="true" outlineLevel="0" collapsed="false">
      <c r="B19" s="110" t="str">
        <f aca="false">'Base Cascavel'!B8</f>
        <v>GEX CASCAVEL</v>
      </c>
      <c r="C19" s="245" t="n">
        <f aca="false">VLOOKUP(B19,Unidades!$D$5:$G$29,4,)</f>
        <v>0.03</v>
      </c>
      <c r="D19" s="246" t="n">
        <f aca="false">'Base Cascavel'!AD8*12+'Base Cascavel'!AE8*4+'Base Cascavel'!AF8*2+'Base Cascavel'!AG8</f>
        <v>8041.9770044528</v>
      </c>
      <c r="E19" s="246" t="n">
        <f aca="false">'Base Cascavel'!AK8*12+'Base Cascavel'!AL8*4+'Base Cascavel'!AM8*2+'Base Cascavel'!AN8</f>
        <v>10437.6819540793</v>
      </c>
    </row>
    <row r="20" s="16" customFormat="true" ht="15" hidden="false" customHeight="true" outlineLevel="0" collapsed="false">
      <c r="B20" s="110" t="str">
        <f aca="false">'Base Cascavel'!B9</f>
        <v>APS CASCAVEL</v>
      </c>
      <c r="C20" s="245" t="n">
        <f aca="false">VLOOKUP(B20,Unidades!$D$5:$G$29,4,)</f>
        <v>0.03</v>
      </c>
      <c r="D20" s="246" t="n">
        <f aca="false">'Base Cascavel'!AD9*12+'Base Cascavel'!AE9*4+'Base Cascavel'!AF9*2+'Base Cascavel'!AG9</f>
        <v>19524.6718530576</v>
      </c>
      <c r="E20" s="246" t="n">
        <f aca="false">'Base Cascavel'!AK9*12+'Base Cascavel'!AL9*4+'Base Cascavel'!AM9*2+'Base Cascavel'!AN9</f>
        <v>25341.0715980835</v>
      </c>
    </row>
    <row r="21" s="16" customFormat="true" ht="15" hidden="false" customHeight="true" outlineLevel="0" collapsed="false">
      <c r="B21" s="110" t="str">
        <f aca="false">'Base Cascavel'!B10</f>
        <v>APS TOLEDO</v>
      </c>
      <c r="C21" s="245" t="n">
        <f aca="false">VLOOKUP(B21,Unidades!$D$5:$G$29,4,)</f>
        <v>0.03</v>
      </c>
      <c r="D21" s="246" t="n">
        <f aca="false">'Base Cascavel'!AD10*12+'Base Cascavel'!AE10*4+'Base Cascavel'!AF10*2+'Base Cascavel'!AG10</f>
        <v>13195.3844117851</v>
      </c>
      <c r="E21" s="246" t="n">
        <f aca="false">'Base Cascavel'!AK10*12+'Base Cascavel'!AL10*4+'Base Cascavel'!AM10*2+'Base Cascavel'!AN10</f>
        <v>17126.2894280559</v>
      </c>
    </row>
    <row r="22" s="29" customFormat="true" ht="15" hidden="false" customHeight="true" outlineLevel="0" collapsed="false">
      <c r="B22" s="110" t="str">
        <f aca="false">'Base Cascavel'!B11</f>
        <v>APS MARECHAL CÂNDIDO RONDON</v>
      </c>
      <c r="C22" s="245" t="n">
        <f aca="false">VLOOKUP(B22,Unidades!$D$5:$G$29,4,)</f>
        <v>0.02</v>
      </c>
      <c r="D22" s="246" t="n">
        <f aca="false">'Base Cascavel'!AD11*12+'Base Cascavel'!AE11*4+'Base Cascavel'!AF11*2+'Base Cascavel'!AG11</f>
        <v>8435.65278690877</v>
      </c>
      <c r="E22" s="246" t="n">
        <f aca="false">'Base Cascavel'!AK11*12+'Base Cascavel'!AL11*4+'Base Cascavel'!AM11*2+'Base Cascavel'!AN11</f>
        <v>10827.1603519974</v>
      </c>
    </row>
    <row r="23" s="16" customFormat="true" ht="15" hidden="false" customHeight="true" outlineLevel="0" collapsed="false">
      <c r="B23" s="110" t="str">
        <f aca="false">'Base Cascavel'!B12</f>
        <v>APS ASSIS CHATEAUBRIAND</v>
      </c>
      <c r="C23" s="245" t="n">
        <f aca="false">VLOOKUP(B23,Unidades!$D$5:$G$29,4,)</f>
        <v>0.03</v>
      </c>
      <c r="D23" s="246" t="n">
        <f aca="false">'Base Cascavel'!AD12*12+'Base Cascavel'!AE12*4+'Base Cascavel'!AF12*2+'Base Cascavel'!AG12</f>
        <v>9428.11403690876</v>
      </c>
      <c r="E23" s="246" t="n">
        <f aca="false">'Base Cascavel'!AK12*12+'Base Cascavel'!AL12*4+'Base Cascavel'!AM12*2+'Base Cascavel'!AN12</f>
        <v>12236.7492085039</v>
      </c>
    </row>
    <row r="24" customFormat="false" ht="15" hidden="false" customHeight="true" outlineLevel="0" collapsed="false">
      <c r="B24" s="110" t="str">
        <f aca="false">'Base Cascavel'!B13</f>
        <v>APS PALOTINA</v>
      </c>
      <c r="C24" s="245" t="n">
        <f aca="false">VLOOKUP(B24,Unidades!$D$5:$G$29,4,)</f>
        <v>0.03</v>
      </c>
      <c r="D24" s="246" t="n">
        <f aca="false">'Base Cascavel'!AD13*12+'Base Cascavel'!AE13*4+'Base Cascavel'!AF13*2+'Base Cascavel'!AG13</f>
        <v>9603.35803690877</v>
      </c>
      <c r="E24" s="246" t="n">
        <f aca="false">'Base Cascavel'!AK13*12+'Base Cascavel'!AL13*4+'Base Cascavel'!AM13*2+'Base Cascavel'!AN13</f>
        <v>12464.1983961039</v>
      </c>
    </row>
    <row r="25" customFormat="false" ht="15" hidden="false" customHeight="true" outlineLevel="0" collapsed="false">
      <c r="B25" s="110" t="str">
        <f aca="false">'Base Cascavel'!B14</f>
        <v>APS GUAÍRA</v>
      </c>
      <c r="C25" s="245" t="n">
        <f aca="false">VLOOKUP(B25,Unidades!$D$5:$G$29,4,)</f>
        <v>0.04</v>
      </c>
      <c r="D25" s="246" t="n">
        <f aca="false">'Base Cascavel'!AD14*12+'Base Cascavel'!AE14*4+'Base Cascavel'!AF14*2+'Base Cascavel'!AG14</f>
        <v>9603.35803690877</v>
      </c>
      <c r="E25" s="246" t="n">
        <f aca="false">'Base Cascavel'!AK14*12+'Base Cascavel'!AL14*4+'Base Cascavel'!AM14*2+'Base Cascavel'!AN14</f>
        <v>12606.3280950501</v>
      </c>
    </row>
    <row r="26" customFormat="false" ht="15" hidden="false" customHeight="true" outlineLevel="0" collapsed="false">
      <c r="B26" s="110" t="str">
        <f aca="false">'Base Cascavel'!B15</f>
        <v>APS MEDIANEIRA</v>
      </c>
      <c r="C26" s="245" t="n">
        <f aca="false">VLOOKUP(B26,Unidades!$D$5:$G$29,4,)</f>
        <v>0.03</v>
      </c>
      <c r="D26" s="246" t="n">
        <f aca="false">'Base Cascavel'!AD15*12+'Base Cascavel'!AE15*4+'Base Cascavel'!AF15*2+'Base Cascavel'!AG15</f>
        <v>10884.558382545</v>
      </c>
      <c r="E26" s="246" t="n">
        <f aca="false">'Base Cascavel'!AK15*12+'Base Cascavel'!AL15*4+'Base Cascavel'!AM15*2+'Base Cascavel'!AN15</f>
        <v>14127.0683247052</v>
      </c>
    </row>
    <row r="27" customFormat="false" ht="15" hidden="false" customHeight="true" outlineLevel="0" collapsed="false">
      <c r="B27" s="110" t="str">
        <f aca="false">'Base Cascavel'!B16</f>
        <v>APS SÃO MIGUEL DO IGUAÇU</v>
      </c>
      <c r="C27" s="245" t="n">
        <f aca="false">VLOOKUP(B27,Unidades!$D$5:$G$29,4,)</f>
        <v>0.03</v>
      </c>
      <c r="D27" s="246" t="n">
        <f aca="false">'Base Cascavel'!AD16*12+'Base Cascavel'!AE16*4+'Base Cascavel'!AF16*2+'Base Cascavel'!AG16</f>
        <v>8648.82203690877</v>
      </c>
      <c r="E27" s="246" t="n">
        <f aca="false">'Base Cascavel'!AK16*12+'Base Cascavel'!AL16*4+'Base Cascavel'!AM16*2+'Base Cascavel'!AN16</f>
        <v>11225.3061217039</v>
      </c>
    </row>
    <row r="28" customFormat="false" ht="15" hidden="false" customHeight="true" outlineLevel="0" collapsed="false">
      <c r="B28" s="110" t="str">
        <f aca="false">'Base Cascavel'!B17</f>
        <v>APS FOZ DO IGUAÇU</v>
      </c>
      <c r="C28" s="245" t="n">
        <f aca="false">VLOOKUP(B28,Unidades!$D$5:$G$29,4,)</f>
        <v>0.04</v>
      </c>
      <c r="D28" s="246" t="n">
        <f aca="false">'Base Cascavel'!AD17*12+'Base Cascavel'!AE17*4+'Base Cascavel'!AF17*2+'Base Cascavel'!AG17</f>
        <v>21219.6618530576</v>
      </c>
      <c r="E28" s="246" t="n">
        <f aca="false">'Base Cascavel'!AK17*12+'Base Cascavel'!AL17*4+'Base Cascavel'!AM17*2+'Base Cascavel'!AN17</f>
        <v>27855.0501145087</v>
      </c>
    </row>
    <row r="29" customFormat="false" ht="15" hidden="false" customHeight="true" outlineLevel="0" collapsed="false">
      <c r="B29" s="110" t="str">
        <f aca="false">'Base Cascavel'!B18</f>
        <v>APS QUEDAS DO IGUAÇU</v>
      </c>
      <c r="C29" s="245" t="n">
        <f aca="false">VLOOKUP(B29,Unidades!$D$5:$G$29,4,)</f>
        <v>0.02</v>
      </c>
      <c r="D29" s="246" t="n">
        <f aca="false">'Base Cascavel'!AD18*12+'Base Cascavel'!AE18*4+'Base Cascavel'!AF18*2+'Base Cascavel'!AG18</f>
        <v>11284.6430369088</v>
      </c>
      <c r="E29" s="246" t="n">
        <f aca="false">'Base Cascavel'!AK18*12+'Base Cascavel'!AL18*4+'Base Cascavel'!AM18*2+'Base Cascavel'!AN18</f>
        <v>14483.8393378724</v>
      </c>
    </row>
    <row r="30" customFormat="false" ht="13.5" hidden="false" customHeight="false" outlineLevel="0" collapsed="false">
      <c r="B30" s="242" t="s">
        <v>100</v>
      </c>
      <c r="C30" s="242"/>
      <c r="D30" s="251" t="n">
        <f aca="false">SUM(D5:D29)</f>
        <v>285726.0385</v>
      </c>
      <c r="E30" s="251" t="n">
        <f aca="false">SUM(E5:E29)</f>
        <v>371480.420322947</v>
      </c>
    </row>
  </sheetData>
  <mergeCells count="2">
    <mergeCell ref="B2:M2"/>
    <mergeCell ref="B30:C30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P41"/>
  <sheetViews>
    <sheetView showFormulas="false" showGridLines="false" showRowColHeaders="true" showZeros="true" rightToLeft="false" tabSelected="false" showOutlineSymbols="true" defaultGridColor="true" view="normal" topLeftCell="A36" colorId="64" zoomScale="110" zoomScaleNormal="110" zoomScalePageLayoutView="100" workbookViewId="0">
      <selection pane="topLeft" activeCell="B45" activeCellId="0" sqref="B45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38"/>
    <col collapsed="false" customWidth="true" hidden="false" outlineLevel="0" max="4" min="3" style="16" width="14.75"/>
    <col collapsed="false" customWidth="true" hidden="false" outlineLevel="0" max="5" min="5" style="16" width="15.62"/>
    <col collapsed="false" customWidth="true" hidden="false" outlineLevel="0" max="6" min="6" style="16" width="13.76"/>
    <col collapsed="false" customWidth="true" hidden="false" outlineLevel="0" max="7" min="7" style="16" width="14.87"/>
    <col collapsed="false" customWidth="true" hidden="false" outlineLevel="0" max="8" min="8" style="16" width="14.38"/>
    <col collapsed="false" customWidth="true" hidden="false" outlineLevel="0" max="9" min="9" style="17" width="14"/>
    <col collapsed="false" customWidth="true" hidden="false" outlineLevel="0" max="10" min="10" style="16" width="14.87"/>
    <col collapsed="false" customWidth="true" hidden="false" outlineLevel="0" max="249" min="11" style="16" width="10.62"/>
    <col collapsed="false" customWidth="true" hidden="false" outlineLevel="0" max="1024" min="1020" style="1" width="8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"PLANILHA RESUMO "&amp;'Valor da Contratação'!B7&amp;""</f>
        <v>PLANILHA RESUMO POLO I</v>
      </c>
      <c r="C2" s="18"/>
      <c r="D2" s="18"/>
      <c r="E2" s="18"/>
      <c r="F2" s="18"/>
      <c r="G2" s="18"/>
      <c r="H2" s="18"/>
      <c r="I2" s="18"/>
      <c r="J2" s="19"/>
    </row>
    <row r="3" customFormat="false" ht="15" hidden="false" customHeight="true" outlineLevel="0" collapsed="false">
      <c r="B3" s="2"/>
      <c r="H3" s="2"/>
      <c r="I3" s="20"/>
    </row>
    <row r="4" customFormat="false" ht="46.5" hidden="false" customHeight="true" outlineLevel="0" collapsed="false">
      <c r="B4" s="21" t="s">
        <v>13</v>
      </c>
      <c r="C4" s="21" t="s">
        <v>14</v>
      </c>
      <c r="D4" s="21" t="s">
        <v>15</v>
      </c>
      <c r="E4" s="21" t="s">
        <v>16</v>
      </c>
      <c r="F4" s="21" t="s">
        <v>17</v>
      </c>
      <c r="G4" s="21" t="s">
        <v>18</v>
      </c>
      <c r="H4" s="21" t="s">
        <v>19</v>
      </c>
      <c r="I4" s="21" t="s">
        <v>20</v>
      </c>
    </row>
    <row r="5" customFormat="false" ht="19.5" hidden="false" customHeight="true" outlineLevel="0" collapsed="false">
      <c r="B5" s="22" t="s">
        <v>21</v>
      </c>
      <c r="C5" s="23" t="n">
        <f aca="false">'Base Maringá'!C20</f>
        <v>16118.64</v>
      </c>
      <c r="D5" s="24" t="n">
        <f aca="false">'Base Maringá'!AT10</f>
        <v>15619.5765338963</v>
      </c>
      <c r="E5" s="24" t="n">
        <f aca="false">D5*12</f>
        <v>187434.918406756</v>
      </c>
      <c r="F5" s="24" t="n">
        <f aca="false">'Base Maringá'!AT12</f>
        <v>46858.729601689</v>
      </c>
      <c r="G5" s="24" t="n">
        <f aca="false">F5*12</f>
        <v>562304.755220268</v>
      </c>
      <c r="H5" s="24" t="n">
        <f aca="false">D5+F5</f>
        <v>62478.3061355853</v>
      </c>
      <c r="I5" s="24" t="n">
        <f aca="false">H5*12</f>
        <v>749739.673627024</v>
      </c>
    </row>
    <row r="6" customFormat="false" ht="19.5" hidden="false" customHeight="true" outlineLevel="0" collapsed="false">
      <c r="B6" s="22" t="s">
        <v>22</v>
      </c>
      <c r="C6" s="23" t="n">
        <f aca="false">'Base Cascavel'!C19</f>
        <v>14675.69</v>
      </c>
      <c r="D6" s="24" t="n">
        <f aca="false">'Base Cascavel'!AT10</f>
        <v>15337.1251596826</v>
      </c>
      <c r="E6" s="24" t="n">
        <f aca="false">D6*12</f>
        <v>184045.501916191</v>
      </c>
      <c r="F6" s="24" t="n">
        <f aca="false">'Base Cascavel'!AT12</f>
        <v>46011.3754790478</v>
      </c>
      <c r="G6" s="24" t="n">
        <f aca="false">F6*12</f>
        <v>552136.505748574</v>
      </c>
      <c r="H6" s="24" t="n">
        <f aca="false">D6+F6</f>
        <v>61348.5006387304</v>
      </c>
      <c r="I6" s="24" t="n">
        <f aca="false">H6*12</f>
        <v>736182.007664765</v>
      </c>
    </row>
    <row r="7" customFormat="false" ht="19.5" hidden="false" customHeight="true" outlineLevel="0" collapsed="false">
      <c r="B7" s="25" t="str">
        <f aca="false">"TOTAL "&amp;'Valor da Contratação'!B7&amp;""</f>
        <v>TOTAL POLO I</v>
      </c>
      <c r="C7" s="26" t="n">
        <f aca="false">SUM(C5:C6)</f>
        <v>30794.33</v>
      </c>
      <c r="D7" s="27" t="n">
        <f aca="false">SUM(D5:D6)</f>
        <v>30956.7016935789</v>
      </c>
      <c r="E7" s="27" t="n">
        <f aca="false">SUM(E5:E6)</f>
        <v>371480.420322947</v>
      </c>
      <c r="F7" s="27" t="n">
        <f aca="false">SUM(F5:F6)</f>
        <v>92870.1050807368</v>
      </c>
      <c r="G7" s="27" t="n">
        <f aca="false">SUM(G5:G6)</f>
        <v>1114441.26096884</v>
      </c>
      <c r="H7" s="27" t="n">
        <f aca="false">SUM(H5:H6)</f>
        <v>123826.806774316</v>
      </c>
      <c r="I7" s="27" t="n">
        <f aca="false">SUM(I5:I6)</f>
        <v>1485921.68129179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28"/>
      <c r="H8" s="2"/>
      <c r="I8" s="20"/>
    </row>
    <row r="9" s="29" customFormat="true" ht="27" hidden="false" customHeight="true" outlineLevel="0" collapsed="false">
      <c r="B9" s="30" t="str">
        <f aca="false">"BASE "&amp;B5</f>
        <v>BASE MARINGÁ</v>
      </c>
      <c r="C9" s="31" t="s">
        <v>23</v>
      </c>
      <c r="D9" s="31"/>
      <c r="E9" s="31"/>
      <c r="F9" s="31" t="s">
        <v>24</v>
      </c>
      <c r="G9" s="31"/>
      <c r="H9" s="31"/>
      <c r="I9" s="32" t="s">
        <v>25</v>
      </c>
      <c r="IP9" s="33"/>
    </row>
    <row r="10" s="29" customFormat="true" ht="22.5" hidden="false" customHeight="true" outlineLevel="0" collapsed="false">
      <c r="B10" s="30"/>
      <c r="C10" s="34" t="s">
        <v>26</v>
      </c>
      <c r="D10" s="34" t="s">
        <v>27</v>
      </c>
      <c r="E10" s="34" t="s">
        <v>28</v>
      </c>
      <c r="F10" s="35" t="s">
        <v>26</v>
      </c>
      <c r="G10" s="35" t="s">
        <v>27</v>
      </c>
      <c r="H10" s="35" t="s">
        <v>28</v>
      </c>
      <c r="I10" s="35" t="s">
        <v>29</v>
      </c>
      <c r="IP10" s="33"/>
    </row>
    <row r="11" customFormat="false" ht="16.5" hidden="false" customHeight="true" outlineLevel="0" collapsed="false">
      <c r="B11" s="22" t="str">
        <f aca="false">'Base Maringá'!B7</f>
        <v>APS ASTORGA</v>
      </c>
      <c r="C11" s="24" t="n">
        <f aca="false">'Base Maringá'!AO7</f>
        <v>1211.14263560032</v>
      </c>
      <c r="D11" s="24" t="n">
        <f aca="false">C11*3</f>
        <v>3633.42790680097</v>
      </c>
      <c r="E11" s="24" t="n">
        <f aca="false">C11+D11</f>
        <v>4844.5705424013</v>
      </c>
      <c r="F11" s="24" t="n">
        <f aca="false">C11*12</f>
        <v>14533.7116272039</v>
      </c>
      <c r="G11" s="24" t="n">
        <f aca="false">F11*3</f>
        <v>43601.1348816117</v>
      </c>
      <c r="H11" s="24" t="n">
        <f aca="false">F11+G11</f>
        <v>58134.8465088156</v>
      </c>
      <c r="I11" s="36" t="n">
        <f aca="false">F11/$E$7</f>
        <v>0.0391237622014344</v>
      </c>
    </row>
    <row r="12" customFormat="false" ht="16.5" hidden="false" customHeight="true" outlineLevel="0" collapsed="false">
      <c r="B12" s="22" t="str">
        <f aca="false">'Base Maringá'!B8</f>
        <v>APS CAMPO MOURÃO</v>
      </c>
      <c r="C12" s="24" t="n">
        <f aca="false">'Base Maringá'!AO8</f>
        <v>1653.78935772652</v>
      </c>
      <c r="D12" s="24" t="n">
        <f aca="false">C12*3</f>
        <v>4961.36807317956</v>
      </c>
      <c r="E12" s="24" t="n">
        <f aca="false">C12+D12</f>
        <v>6615.15743090608</v>
      </c>
      <c r="F12" s="24" t="n">
        <f aca="false">C12*12</f>
        <v>19845.4722927182</v>
      </c>
      <c r="G12" s="24" t="n">
        <f aca="false">F12*3</f>
        <v>59536.4168781547</v>
      </c>
      <c r="H12" s="24" t="n">
        <f aca="false">F12+G12</f>
        <v>79381.8891708729</v>
      </c>
      <c r="I12" s="36" t="n">
        <f aca="false">F12/$E$7</f>
        <v>0.0534226602722844</v>
      </c>
    </row>
    <row r="13" customFormat="false" ht="16.5" hidden="false" customHeight="true" outlineLevel="0" collapsed="false">
      <c r="B13" s="22" t="str">
        <f aca="false">'Base Maringá'!B9</f>
        <v>APS CIANORTE</v>
      </c>
      <c r="C13" s="24" t="n">
        <f aca="false">'Base Maringá'!AO9</f>
        <v>904.939147325324</v>
      </c>
      <c r="D13" s="24" t="n">
        <f aca="false">C13*3</f>
        <v>2714.81744197597</v>
      </c>
      <c r="E13" s="24" t="n">
        <f aca="false">C13+D13</f>
        <v>3619.7565893013</v>
      </c>
      <c r="F13" s="24" t="n">
        <f aca="false">C13*12</f>
        <v>10859.2697679039</v>
      </c>
      <c r="G13" s="24" t="n">
        <f aca="false">F13*3</f>
        <v>32577.8093037117</v>
      </c>
      <c r="H13" s="24" t="n">
        <f aca="false">F13+G13</f>
        <v>43437.0790716156</v>
      </c>
      <c r="I13" s="36" t="n">
        <f aca="false">F13/$E$7</f>
        <v>0.0292324148833022</v>
      </c>
    </row>
    <row r="14" customFormat="false" ht="16.5" hidden="false" customHeight="true" outlineLevel="0" collapsed="false">
      <c r="B14" s="22" t="str">
        <f aca="false">'Base Maringá'!B10</f>
        <v>APS COLORADO</v>
      </c>
      <c r="C14" s="24" t="n">
        <f aca="false">'Base Maringá'!AO10</f>
        <v>921.363855508658</v>
      </c>
      <c r="D14" s="24" t="n">
        <f aca="false">C14*3</f>
        <v>2764.09156652597</v>
      </c>
      <c r="E14" s="24" t="n">
        <f aca="false">C14+D14</f>
        <v>3685.45542203463</v>
      </c>
      <c r="F14" s="24" t="n">
        <f aca="false">C14*12</f>
        <v>11056.3662661039</v>
      </c>
      <c r="G14" s="24" t="n">
        <f aca="false">F14*3</f>
        <v>33169.0987983117</v>
      </c>
      <c r="H14" s="24" t="n">
        <f aca="false">F14+G14</f>
        <v>44225.4650644156</v>
      </c>
      <c r="I14" s="36" t="n">
        <f aca="false">F14/$E$7</f>
        <v>0.0297629852375316</v>
      </c>
    </row>
    <row r="15" customFormat="false" ht="16.5" hidden="false" customHeight="true" outlineLevel="0" collapsed="false">
      <c r="B15" s="22" t="str">
        <f aca="false">'Base Maringá'!B11</f>
        <v>APS CRUZEIRO DO OESTE</v>
      </c>
      <c r="C15" s="24" t="n">
        <f aca="false">'Base Maringá'!AO11</f>
        <v>1082.59096858334</v>
      </c>
      <c r="D15" s="24" t="n">
        <f aca="false">C15*3</f>
        <v>3247.77290575003</v>
      </c>
      <c r="E15" s="24" t="n">
        <f aca="false">C15+D15</f>
        <v>4330.36387433338</v>
      </c>
      <c r="F15" s="24" t="n">
        <f aca="false">C15*12</f>
        <v>12991.0916230001</v>
      </c>
      <c r="G15" s="24" t="n">
        <f aca="false">F15*3</f>
        <v>38973.2748690004</v>
      </c>
      <c r="H15" s="24" t="n">
        <f aca="false">F15+G15</f>
        <v>51964.3664920005</v>
      </c>
      <c r="I15" s="36" t="n">
        <f aca="false">F15/$E$7</f>
        <v>0.0349711341763485</v>
      </c>
    </row>
    <row r="16" customFormat="false" ht="16.5" hidden="false" customHeight="true" outlineLevel="0" collapsed="false">
      <c r="B16" s="22" t="str">
        <f aca="false">'Base Maringá'!B12</f>
        <v>APS LOANDA</v>
      </c>
      <c r="C16" s="24" t="n">
        <f aca="false">'Base Maringá'!AO12</f>
        <v>918.598351121455</v>
      </c>
      <c r="D16" s="24" t="n">
        <f aca="false">C16*3</f>
        <v>2755.79505336437</v>
      </c>
      <c r="E16" s="24" t="n">
        <f aca="false">C16+D16</f>
        <v>3674.39340448582</v>
      </c>
      <c r="F16" s="24" t="n">
        <f aca="false">C16*12</f>
        <v>11023.1802134575</v>
      </c>
      <c r="G16" s="24" t="n">
        <f aca="false">F16*3</f>
        <v>33069.5406403724</v>
      </c>
      <c r="H16" s="24" t="n">
        <f aca="false">F16+G16</f>
        <v>44092.7208538298</v>
      </c>
      <c r="I16" s="36" t="n">
        <f aca="false">F16/$E$7</f>
        <v>0.0296736506432141</v>
      </c>
    </row>
    <row r="17" customFormat="false" ht="16.5" hidden="false" customHeight="true" outlineLevel="0" collapsed="false">
      <c r="B17" s="22" t="str">
        <f aca="false">'Base Maringá'!B13</f>
        <v>APS MANDAGUARI</v>
      </c>
      <c r="C17" s="24" t="n">
        <f aca="false">'Base Maringá'!AO13</f>
        <v>831.027960500324</v>
      </c>
      <c r="D17" s="24" t="n">
        <f aca="false">C17*3</f>
        <v>2493.08388150097</v>
      </c>
      <c r="E17" s="24" t="n">
        <f aca="false">C17+D17</f>
        <v>3324.1118420013</v>
      </c>
      <c r="F17" s="24" t="n">
        <f aca="false">C17*12</f>
        <v>9972.33552600389</v>
      </c>
      <c r="G17" s="24" t="n">
        <f aca="false">F17*3</f>
        <v>29917.0065780117</v>
      </c>
      <c r="H17" s="24" t="n">
        <f aca="false">F17+G17</f>
        <v>39889.3421040156</v>
      </c>
      <c r="I17" s="36" t="n">
        <f aca="false">F17/$E$7</f>
        <v>0.0268448482892703</v>
      </c>
    </row>
    <row r="18" customFormat="false" ht="16.5" hidden="false" customHeight="true" outlineLevel="0" collapsed="false">
      <c r="B18" s="22" t="str">
        <f aca="false">'Base Maringá'!B14</f>
        <v>APS NOVA ESPERANÇA</v>
      </c>
      <c r="C18" s="24" t="n">
        <f aca="false">'Base Maringá'!AO14</f>
        <v>911.141465864367</v>
      </c>
      <c r="D18" s="24" t="n">
        <f aca="false">C18*3</f>
        <v>2733.4243975931</v>
      </c>
      <c r="E18" s="24" t="n">
        <f aca="false">C18+D18</f>
        <v>3644.56586345747</v>
      </c>
      <c r="F18" s="24" t="n">
        <f aca="false">C18*12</f>
        <v>10933.6975903724</v>
      </c>
      <c r="G18" s="24" t="n">
        <f aca="false">F18*3</f>
        <v>32801.0927711172</v>
      </c>
      <c r="H18" s="24" t="n">
        <f aca="false">F18+G18</f>
        <v>43734.7903614896</v>
      </c>
      <c r="I18" s="36" t="n">
        <f aca="false">F18/$E$7</f>
        <v>0.0294327695141165</v>
      </c>
    </row>
    <row r="19" customFormat="false" ht="16.5" hidden="false" customHeight="true" outlineLevel="0" collapsed="false">
      <c r="B19" s="22" t="str">
        <f aca="false">'Base Maringá'!B15</f>
        <v>APS PAIÇANDU</v>
      </c>
      <c r="C19" s="24" t="n">
        <f aca="false">'Base Maringá'!AO15</f>
        <v>904.939147325324</v>
      </c>
      <c r="D19" s="24" t="n">
        <f aca="false">C19*3</f>
        <v>2714.81744197597</v>
      </c>
      <c r="E19" s="24" t="n">
        <f aca="false">C19+D19</f>
        <v>3619.7565893013</v>
      </c>
      <c r="F19" s="24" t="n">
        <f aca="false">C19*12</f>
        <v>10859.2697679039</v>
      </c>
      <c r="G19" s="24" t="n">
        <f aca="false">F19*3</f>
        <v>32577.8093037117</v>
      </c>
      <c r="H19" s="24" t="n">
        <f aca="false">F19+G19</f>
        <v>43437.0790716156</v>
      </c>
      <c r="I19" s="36" t="n">
        <f aca="false">F19/$E$7</f>
        <v>0.0292324148833022</v>
      </c>
    </row>
    <row r="20" customFormat="false" ht="16.5" hidden="false" customHeight="true" outlineLevel="0" collapsed="false">
      <c r="B20" s="22" t="str">
        <f aca="false">'Base Maringá'!B16</f>
        <v>APS PARANAVAÍ</v>
      </c>
      <c r="C20" s="24" t="n">
        <f aca="false">'Base Maringá'!AO16</f>
        <v>1428.82684723752</v>
      </c>
      <c r="D20" s="24" t="n">
        <f aca="false">C20*3</f>
        <v>4286.48054171257</v>
      </c>
      <c r="E20" s="24" t="n">
        <f aca="false">C20+D20</f>
        <v>5715.30738895009</v>
      </c>
      <c r="F20" s="24" t="n">
        <f aca="false">C20*12</f>
        <v>17145.9221668503</v>
      </c>
      <c r="G20" s="24" t="n">
        <f aca="false">F20*3</f>
        <v>51437.7665005508</v>
      </c>
      <c r="H20" s="24" t="n">
        <f aca="false">F20+G20</f>
        <v>68583.6886674011</v>
      </c>
      <c r="I20" s="36" t="n">
        <f aca="false">F20/$E$7</f>
        <v>0.0461556551269766</v>
      </c>
    </row>
    <row r="21" customFormat="false" ht="16.5" hidden="false" customHeight="true" outlineLevel="0" collapsed="false">
      <c r="B21" s="22" t="str">
        <f aca="false">'Base Maringá'!B17</f>
        <v>APS UMUARAMA</v>
      </c>
      <c r="C21" s="24" t="n">
        <f aca="false">'Base Maringá'!AO17</f>
        <v>2050.15934861662</v>
      </c>
      <c r="D21" s="24" t="n">
        <f aca="false">C21*3</f>
        <v>6150.47804584985</v>
      </c>
      <c r="E21" s="24" t="n">
        <f aca="false">C21+D21</f>
        <v>8200.63739446647</v>
      </c>
      <c r="F21" s="24" t="n">
        <f aca="false">C21*12</f>
        <v>24601.9121833994</v>
      </c>
      <c r="G21" s="24" t="n">
        <f aca="false">F21*3</f>
        <v>73805.7365501982</v>
      </c>
      <c r="H21" s="24" t="n">
        <f aca="false">F21+G21</f>
        <v>98407.6487335977</v>
      </c>
      <c r="I21" s="36" t="n">
        <f aca="false">F21/$E$7</f>
        <v>0.0662266726251997</v>
      </c>
    </row>
    <row r="22" customFormat="false" ht="16.5" hidden="false" customHeight="true" outlineLevel="0" collapsed="false">
      <c r="B22" s="22" t="str">
        <f aca="false">'Base Maringá'!B18</f>
        <v>CEDOCPREV MARINGÁ</v>
      </c>
      <c r="C22" s="24" t="n">
        <f aca="false">'Base Maringá'!AO18</f>
        <v>1072.8414774171</v>
      </c>
      <c r="D22" s="24" t="n">
        <f aca="false">C22*3</f>
        <v>3218.5244322513</v>
      </c>
      <c r="E22" s="24" t="n">
        <f aca="false">C22+D22</f>
        <v>4291.3659096684</v>
      </c>
      <c r="F22" s="24" t="n">
        <f aca="false">C22*12</f>
        <v>12874.0977290052</v>
      </c>
      <c r="G22" s="24" t="n">
        <f aca="false">F22*3</f>
        <v>38622.2931870156</v>
      </c>
      <c r="H22" s="24" t="n">
        <f aca="false">F22+G22</f>
        <v>51496.3909160208</v>
      </c>
      <c r="I22" s="36" t="n">
        <f aca="false">F22/$E$7</f>
        <v>0.0346561945790119</v>
      </c>
    </row>
    <row r="23" customFormat="false" ht="16.5" hidden="false" customHeight="true" outlineLevel="0" collapsed="false">
      <c r="B23" s="22" t="str">
        <f aca="false">'Base Maringá'!B19</f>
        <v>GEX/APS MARINGÁ</v>
      </c>
      <c r="C23" s="24" t="n">
        <f aca="false">'Base Maringá'!AO19</f>
        <v>1728.21597106945</v>
      </c>
      <c r="D23" s="24" t="n">
        <f aca="false">C23*3</f>
        <v>5184.64791320836</v>
      </c>
      <c r="E23" s="24" t="n">
        <f aca="false">C23+D23</f>
        <v>6912.86388427782</v>
      </c>
      <c r="F23" s="24" t="n">
        <f aca="false">C23*12</f>
        <v>20738.5916528335</v>
      </c>
      <c r="G23" s="24" t="n">
        <f aca="false">F23*3</f>
        <v>62215.7749585004</v>
      </c>
      <c r="H23" s="24" t="n">
        <f aca="false">F23+G23</f>
        <v>82954.3666113338</v>
      </c>
      <c r="I23" s="36" t="n">
        <f aca="false">F23/$E$7</f>
        <v>0.0558268767834502</v>
      </c>
    </row>
    <row r="24" customFormat="false" ht="22.5" hidden="false" customHeight="true" outlineLevel="0" collapsed="false">
      <c r="B24" s="37" t="str">
        <f aca="false">"Total Base "&amp;B5</f>
        <v>Total Base MARINGÁ</v>
      </c>
      <c r="C24" s="37" t="n">
        <f aca="false">SUM(C11:C23)</f>
        <v>15619.5765338963</v>
      </c>
      <c r="D24" s="37" t="n">
        <f aca="false">SUM(D11:D23)</f>
        <v>46858.729601689</v>
      </c>
      <c r="E24" s="37" t="n">
        <f aca="false">SUM(E11:E23)</f>
        <v>62478.3061355853</v>
      </c>
      <c r="F24" s="37" t="n">
        <f aca="false">SUM(F11:F23)</f>
        <v>187434.918406756</v>
      </c>
      <c r="G24" s="37" t="n">
        <f aca="false">SUM(G11:G23)</f>
        <v>562304.755220268</v>
      </c>
      <c r="H24" s="37" t="n">
        <f aca="false">SUM(H11:H23)</f>
        <v>749739.673627024</v>
      </c>
      <c r="I24" s="38" t="n">
        <f aca="false">SUM(I11:I23)</f>
        <v>0.504562039215443</v>
      </c>
    </row>
    <row r="25" customFormat="false" ht="22.5" hidden="false" customHeight="true" outlineLevel="0" collapsed="false">
      <c r="B25" s="39"/>
      <c r="C25" s="39"/>
      <c r="D25" s="39"/>
      <c r="E25" s="39"/>
      <c r="F25" s="39"/>
      <c r="G25" s="39"/>
      <c r="H25" s="39"/>
      <c r="I25" s="40"/>
    </row>
    <row r="26" s="29" customFormat="true" ht="27.75" hidden="false" customHeight="true" outlineLevel="0" collapsed="false">
      <c r="B26" s="30" t="str">
        <f aca="false">"BASE "&amp;B6</f>
        <v>BASE CASCAVEL</v>
      </c>
      <c r="C26" s="31" t="s">
        <v>23</v>
      </c>
      <c r="D26" s="31"/>
      <c r="E26" s="31"/>
      <c r="F26" s="31" t="s">
        <v>24</v>
      </c>
      <c r="G26" s="31"/>
      <c r="H26" s="31"/>
      <c r="I26" s="32" t="s">
        <v>25</v>
      </c>
      <c r="IP26" s="33"/>
    </row>
    <row r="27" s="29" customFormat="true" ht="22.5" hidden="false" customHeight="true" outlineLevel="0" collapsed="false">
      <c r="B27" s="30"/>
      <c r="C27" s="34" t="s">
        <v>26</v>
      </c>
      <c r="D27" s="34" t="s">
        <v>27</v>
      </c>
      <c r="E27" s="34" t="s">
        <v>28</v>
      </c>
      <c r="F27" s="35" t="s">
        <v>26</v>
      </c>
      <c r="G27" s="35" t="s">
        <v>27</v>
      </c>
      <c r="H27" s="35" t="s">
        <v>28</v>
      </c>
      <c r="I27" s="35" t="s">
        <v>29</v>
      </c>
      <c r="IP27" s="33"/>
    </row>
    <row r="28" customFormat="false" ht="16.5" hidden="false" customHeight="true" outlineLevel="0" collapsed="false">
      <c r="B28" s="22" t="str">
        <f aca="false">'Base Cascavel'!B7</f>
        <v>APS GOIOERÊ</v>
      </c>
      <c r="C28" s="24" t="n">
        <f aca="false">'Base Cascavel'!AO7</f>
        <v>1276.22991546058</v>
      </c>
      <c r="D28" s="24" t="n">
        <f aca="false">C28*3</f>
        <v>3828.68974638175</v>
      </c>
      <c r="E28" s="24" t="n">
        <f aca="false">C28+D28</f>
        <v>5104.91966184234</v>
      </c>
      <c r="F28" s="24" t="n">
        <f aca="false">C28*12</f>
        <v>15314.758985527</v>
      </c>
      <c r="G28" s="24" t="n">
        <f aca="false">F28*3</f>
        <v>45944.276956581</v>
      </c>
      <c r="H28" s="24" t="n">
        <f aca="false">F28+G28</f>
        <v>61259.0359421081</v>
      </c>
      <c r="I28" s="36" t="n">
        <f aca="false">F28/$E$7</f>
        <v>0.0412262885139763</v>
      </c>
    </row>
    <row r="29" customFormat="false" ht="16.5" hidden="false" customHeight="true" outlineLevel="0" collapsed="false">
      <c r="B29" s="22" t="str">
        <f aca="false">'Base Cascavel'!B8</f>
        <v>GEX CASCAVEL</v>
      </c>
      <c r="C29" s="24" t="n">
        <f aca="false">'Base Cascavel'!AO8</f>
        <v>869.806829506607</v>
      </c>
      <c r="D29" s="24" t="n">
        <f aca="false">C29*3</f>
        <v>2609.42048851982</v>
      </c>
      <c r="E29" s="24" t="n">
        <f aca="false">C29+D29</f>
        <v>3479.22731802643</v>
      </c>
      <c r="F29" s="24" t="n">
        <f aca="false">C29*12</f>
        <v>10437.6819540793</v>
      </c>
      <c r="G29" s="24" t="n">
        <f aca="false">F29*3</f>
        <v>31313.0458622379</v>
      </c>
      <c r="H29" s="24" t="n">
        <f aca="false">F29+G29</f>
        <v>41750.7278163172</v>
      </c>
      <c r="I29" s="36" t="n">
        <f aca="false">F29/$E$7</f>
        <v>0.0280975291914585</v>
      </c>
    </row>
    <row r="30" customFormat="false" ht="16.5" hidden="false" customHeight="true" outlineLevel="0" collapsed="false">
      <c r="B30" s="22" t="str">
        <f aca="false">'Base Cascavel'!B9</f>
        <v>APS CASCAVEL</v>
      </c>
      <c r="C30" s="24" t="n">
        <f aca="false">'Base Cascavel'!AO9</f>
        <v>2111.75596650695</v>
      </c>
      <c r="D30" s="24" t="n">
        <f aca="false">C30*3</f>
        <v>6335.26789952086</v>
      </c>
      <c r="E30" s="24" t="n">
        <f aca="false">C30+D30</f>
        <v>8447.02386602782</v>
      </c>
      <c r="F30" s="24" t="n">
        <f aca="false">C30*12</f>
        <v>25341.0715980835</v>
      </c>
      <c r="G30" s="24" t="n">
        <f aca="false">F30*3</f>
        <v>76023.2147942504</v>
      </c>
      <c r="H30" s="24" t="n">
        <f aca="false">F30+G30</f>
        <v>101364.286392334</v>
      </c>
      <c r="I30" s="36" t="n">
        <f aca="false">F30/$E$7</f>
        <v>0.068216439445323</v>
      </c>
    </row>
    <row r="31" customFormat="false" ht="16.5" hidden="false" customHeight="true" outlineLevel="0" collapsed="false">
      <c r="B31" s="22" t="str">
        <f aca="false">'Base Cascavel'!B10</f>
        <v>APS TOLEDO</v>
      </c>
      <c r="C31" s="24" t="n">
        <f aca="false">'Base Cascavel'!AO10</f>
        <v>1427.19078567132</v>
      </c>
      <c r="D31" s="24" t="n">
        <f aca="false">C31*3</f>
        <v>4281.57235701396</v>
      </c>
      <c r="E31" s="24" t="n">
        <f aca="false">C31+D31</f>
        <v>5708.76314268528</v>
      </c>
      <c r="F31" s="24" t="n">
        <f aca="false">C31*12</f>
        <v>17126.2894280559</v>
      </c>
      <c r="G31" s="24" t="n">
        <f aca="false">F31*3</f>
        <v>51378.8682841676</v>
      </c>
      <c r="H31" s="24" t="n">
        <f aca="false">F31+G31</f>
        <v>68505.1577122234</v>
      </c>
      <c r="I31" s="36" t="n">
        <f aca="false">F31/$E$7</f>
        <v>0.0461028051307982</v>
      </c>
    </row>
    <row r="32" customFormat="false" ht="16.5" hidden="false" customHeight="true" outlineLevel="0" collapsed="false">
      <c r="B32" s="22" t="str">
        <f aca="false">'Base Cascavel'!B11</f>
        <v>APS MARECHAL CÂNDIDO RONDON</v>
      </c>
      <c r="C32" s="24" t="n">
        <f aca="false">'Base Cascavel'!AO11</f>
        <v>902.26336266645</v>
      </c>
      <c r="D32" s="24" t="n">
        <f aca="false">C32*3</f>
        <v>2706.79008799935</v>
      </c>
      <c r="E32" s="24" t="n">
        <f aca="false">C32+D32</f>
        <v>3609.0534506658</v>
      </c>
      <c r="F32" s="24" t="n">
        <f aca="false">C32*12</f>
        <v>10827.1603519974</v>
      </c>
      <c r="G32" s="24" t="n">
        <f aca="false">F32*3</f>
        <v>32481.4810559922</v>
      </c>
      <c r="H32" s="24" t="n">
        <f aca="false">F32+G32</f>
        <v>43308.6414079896</v>
      </c>
      <c r="I32" s="36" t="n">
        <f aca="false">F32/$E$7</f>
        <v>0.029145978521788</v>
      </c>
    </row>
    <row r="33" customFormat="false" ht="16.5" hidden="false" customHeight="true" outlineLevel="0" collapsed="false">
      <c r="B33" s="22" t="str">
        <f aca="false">'Base Cascavel'!B12</f>
        <v>APS ASSIS CHATEAUBRIAND</v>
      </c>
      <c r="C33" s="24" t="n">
        <f aca="false">'Base Cascavel'!AO12</f>
        <v>1019.72910070866</v>
      </c>
      <c r="D33" s="24" t="n">
        <f aca="false">C33*3</f>
        <v>3059.18730212597</v>
      </c>
      <c r="E33" s="24" t="n">
        <f aca="false">C33+D33</f>
        <v>4078.91640283463</v>
      </c>
      <c r="F33" s="24" t="n">
        <f aca="false">C33*12</f>
        <v>12236.7492085039</v>
      </c>
      <c r="G33" s="24" t="n">
        <f aca="false">F33*3</f>
        <v>36710.2476255117</v>
      </c>
      <c r="H33" s="24" t="n">
        <f aca="false">F33+G33</f>
        <v>48946.9968340155</v>
      </c>
      <c r="I33" s="36" t="n">
        <f aca="false">F33/$E$7</f>
        <v>0.0329404957544353</v>
      </c>
    </row>
    <row r="34" customFormat="false" ht="16.5" hidden="false" customHeight="true" outlineLevel="0" collapsed="false">
      <c r="B34" s="22" t="str">
        <f aca="false">'Base Cascavel'!B13</f>
        <v>APS PALOTINA</v>
      </c>
      <c r="C34" s="24" t="n">
        <f aca="false">'Base Cascavel'!AO13</f>
        <v>1038.68319967532</v>
      </c>
      <c r="D34" s="24" t="n">
        <f aca="false">C34*3</f>
        <v>3116.04959902597</v>
      </c>
      <c r="E34" s="24" t="n">
        <f aca="false">C34+D34</f>
        <v>4154.7327987013</v>
      </c>
      <c r="F34" s="24" t="n">
        <f aca="false">C34*12</f>
        <v>12464.1983961039</v>
      </c>
      <c r="G34" s="24" t="n">
        <f aca="false">F34*3</f>
        <v>37392.5951883117</v>
      </c>
      <c r="H34" s="24" t="n">
        <f aca="false">F34+G34</f>
        <v>49856.7935844156</v>
      </c>
      <c r="I34" s="36" t="n">
        <f aca="false">F34/$E$7</f>
        <v>0.0335527734820266</v>
      </c>
    </row>
    <row r="35" customFormat="false" ht="16.5" hidden="false" customHeight="true" outlineLevel="0" collapsed="false">
      <c r="B35" s="22" t="str">
        <f aca="false">'Base Cascavel'!B14</f>
        <v>APS GUAÍRA</v>
      </c>
      <c r="C35" s="24" t="n">
        <f aca="false">'Base Cascavel'!AO14</f>
        <v>1050.52734125418</v>
      </c>
      <c r="D35" s="24" t="n">
        <f aca="false">C35*3</f>
        <v>3151.58202376254</v>
      </c>
      <c r="E35" s="24" t="n">
        <f aca="false">C35+D35</f>
        <v>4202.10936501671</v>
      </c>
      <c r="F35" s="24" t="n">
        <f aca="false">C35*12</f>
        <v>12606.3280950501</v>
      </c>
      <c r="G35" s="24" t="n">
        <f aca="false">F35*3</f>
        <v>37818.9842851504</v>
      </c>
      <c r="H35" s="24" t="n">
        <f aca="false">F35+G35</f>
        <v>50425.3123802006</v>
      </c>
      <c r="I35" s="36" t="n">
        <f aca="false">F35/$E$7</f>
        <v>0.0339353769549706</v>
      </c>
    </row>
    <row r="36" customFormat="false" ht="16.5" hidden="false" customHeight="true" outlineLevel="0" collapsed="false">
      <c r="B36" s="22" t="str">
        <f aca="false">'Base Cascavel'!B15</f>
        <v>APS MEDIANEIRA</v>
      </c>
      <c r="C36" s="24" t="n">
        <f aca="false">'Base Cascavel'!AO15</f>
        <v>1177.25569372543</v>
      </c>
      <c r="D36" s="24" t="n">
        <f aca="false">C36*3</f>
        <v>3531.7670811763</v>
      </c>
      <c r="E36" s="24" t="n">
        <f aca="false">C36+D36</f>
        <v>4709.02277490173</v>
      </c>
      <c r="F36" s="24" t="n">
        <f aca="false">C36*12</f>
        <v>14127.0683247052</v>
      </c>
      <c r="G36" s="24" t="n">
        <f aca="false">F36*3</f>
        <v>42381.2049741156</v>
      </c>
      <c r="H36" s="24" t="n">
        <f aca="false">F36+G36</f>
        <v>56508.2732988208</v>
      </c>
      <c r="I36" s="36" t="n">
        <f aca="false">F36/$E$7</f>
        <v>0.0380291061166126</v>
      </c>
    </row>
    <row r="37" customFormat="false" ht="16.5" hidden="false" customHeight="true" outlineLevel="0" collapsed="false">
      <c r="B37" s="22" t="str">
        <f aca="false">'Base Cascavel'!B16</f>
        <v>APS SÃO MIGUEL DO IGUAÇU</v>
      </c>
      <c r="C37" s="24" t="n">
        <f aca="false">'Base Cascavel'!AO16</f>
        <v>935.442176808658</v>
      </c>
      <c r="D37" s="24" t="n">
        <f aca="false">C37*3</f>
        <v>2806.32653042597</v>
      </c>
      <c r="E37" s="24" t="n">
        <f aca="false">C37+D37</f>
        <v>3741.76870723463</v>
      </c>
      <c r="F37" s="24" t="n">
        <f aca="false">C37*12</f>
        <v>11225.3061217039</v>
      </c>
      <c r="G37" s="24" t="n">
        <f aca="false">F37*3</f>
        <v>33675.9183651117</v>
      </c>
      <c r="H37" s="24" t="n">
        <f aca="false">F37+G37</f>
        <v>44901.2244868156</v>
      </c>
      <c r="I37" s="36" t="n">
        <f aca="false">F37/$E$7</f>
        <v>0.030217759826871</v>
      </c>
    </row>
    <row r="38" customFormat="false" ht="16.5" hidden="false" customHeight="true" outlineLevel="0" collapsed="false">
      <c r="B38" s="22" t="str">
        <f aca="false">'Base Cascavel'!B17</f>
        <v>APS FOZ DO IGUAÇU</v>
      </c>
      <c r="C38" s="24" t="n">
        <f aca="false">'Base Cascavel'!AO17</f>
        <v>2321.25417620906</v>
      </c>
      <c r="D38" s="24" t="n">
        <f aca="false">C38*3</f>
        <v>6963.76252862717</v>
      </c>
      <c r="E38" s="24" t="n">
        <f aca="false">C38+D38</f>
        <v>9285.01670483623</v>
      </c>
      <c r="F38" s="24" t="n">
        <f aca="false">C38*12</f>
        <v>27855.0501145087</v>
      </c>
      <c r="G38" s="24" t="n">
        <f aca="false">F38*3</f>
        <v>83565.1503435261</v>
      </c>
      <c r="H38" s="24" t="n">
        <f aca="false">F38+G38</f>
        <v>111420.200458035</v>
      </c>
      <c r="I38" s="36" t="n">
        <f aca="false">F38/$E$7</f>
        <v>0.0749838984522868</v>
      </c>
    </row>
    <row r="39" customFormat="false" ht="16.5" hidden="false" customHeight="true" outlineLevel="0" collapsed="false">
      <c r="B39" s="22" t="str">
        <f aca="false">'Base Cascavel'!B18</f>
        <v>APS QUEDAS DO IGUAÇU</v>
      </c>
      <c r="C39" s="24" t="n">
        <f aca="false">'Base Cascavel'!AO18</f>
        <v>1206.98661148937</v>
      </c>
      <c r="D39" s="24" t="n">
        <f aca="false">C39*3</f>
        <v>3620.9598344681</v>
      </c>
      <c r="E39" s="24" t="n">
        <f aca="false">C39+D39</f>
        <v>4827.94644595747</v>
      </c>
      <c r="F39" s="24" t="n">
        <f aca="false">C39*12</f>
        <v>14483.8393378724</v>
      </c>
      <c r="G39" s="24" t="n">
        <f aca="false">F39*3</f>
        <v>43451.5180136172</v>
      </c>
      <c r="H39" s="24" t="n">
        <f aca="false">F39+G39</f>
        <v>57935.3573514897</v>
      </c>
      <c r="I39" s="36" t="n">
        <f aca="false">F39/$E$7</f>
        <v>0.0389895093940102</v>
      </c>
    </row>
    <row r="40" customFormat="false" ht="22.5" hidden="false" customHeight="true" outlineLevel="0" collapsed="false">
      <c r="B40" s="37" t="str">
        <f aca="false">"Total Base "&amp;B6</f>
        <v>Total Base CASCAVEL</v>
      </c>
      <c r="C40" s="37" t="n">
        <f aca="false">SUM(C28:C39)</f>
        <v>15337.1251596826</v>
      </c>
      <c r="D40" s="37" t="n">
        <f aca="false">SUM(D28:D39)</f>
        <v>46011.3754790478</v>
      </c>
      <c r="E40" s="37" t="n">
        <f aca="false">SUM(E28:E39)</f>
        <v>61348.5006387304</v>
      </c>
      <c r="F40" s="37" t="n">
        <f aca="false">SUM(F28:F39)</f>
        <v>184045.501916191</v>
      </c>
      <c r="G40" s="37" t="n">
        <f aca="false">SUM(G28:G39)</f>
        <v>552136.505748573</v>
      </c>
      <c r="H40" s="37" t="n">
        <f aca="false">SUM(H28:H39)</f>
        <v>736182.007664764</v>
      </c>
      <c r="I40" s="38" t="n">
        <f aca="false">SUM(I28:I39)</f>
        <v>0.495437960784557</v>
      </c>
    </row>
    <row r="41" customFormat="false" ht="22.5" hidden="false" customHeight="true" outlineLevel="0" collapsed="false">
      <c r="B41" s="41"/>
      <c r="C41" s="39"/>
      <c r="D41" s="39"/>
      <c r="E41" s="39"/>
      <c r="F41" s="39"/>
      <c r="G41" s="39"/>
      <c r="H41" s="39"/>
      <c r="I41" s="40"/>
    </row>
  </sheetData>
  <mergeCells count="7">
    <mergeCell ref="B2:I2"/>
    <mergeCell ref="B9:B10"/>
    <mergeCell ref="C9:E9"/>
    <mergeCell ref="F9:H9"/>
    <mergeCell ref="B26:B27"/>
    <mergeCell ref="C26:E26"/>
    <mergeCell ref="F26:H26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E7" activeCellId="0" sqref="E7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2" t="str">
        <f aca="false">"CÁLCULO DO CUSTO DA EQUIPE TÉCNICA PARA O "&amp;'Valor da Contratação'!B7&amp;""</f>
        <v>CÁLCULO DO CUSTO DA EQUIPE TÉCNICA PARA O POLO I</v>
      </c>
      <c r="C2" s="42"/>
      <c r="D2" s="42"/>
      <c r="E2" s="42"/>
    </row>
    <row r="3" customFormat="false" ht="15" hidden="false" customHeight="true" outlineLevel="0" collapsed="false">
      <c r="B3" s="43"/>
      <c r="C3" s="43"/>
      <c r="D3" s="43"/>
      <c r="E3" s="43"/>
    </row>
    <row r="4" customFormat="false" ht="45.75" hidden="false" customHeight="true" outlineLevel="0" collapsed="false">
      <c r="B4" s="44" t="s">
        <v>30</v>
      </c>
      <c r="C4" s="45" t="s">
        <v>31</v>
      </c>
      <c r="D4" s="45" t="s">
        <v>32</v>
      </c>
      <c r="E4" s="45" t="s">
        <v>33</v>
      </c>
    </row>
    <row r="5" customFormat="false" ht="19.5" hidden="false" customHeight="true" outlineLevel="0" collapsed="false">
      <c r="B5" s="44"/>
      <c r="C5" s="46" t="n">
        <v>109.99</v>
      </c>
      <c r="D5" s="46" t="n">
        <f aca="false">'Comp. Eng. Eletricista'!D11</f>
        <v>111.0025</v>
      </c>
      <c r="E5" s="46" t="n">
        <v>35.96</v>
      </c>
    </row>
    <row r="6" customFormat="false" ht="19.5" hidden="false" customHeight="true" outlineLevel="0" collapsed="false">
      <c r="B6" s="47" t="s">
        <v>34</v>
      </c>
      <c r="C6" s="48" t="n">
        <v>80</v>
      </c>
      <c r="D6" s="48" t="n">
        <v>16</v>
      </c>
      <c r="E6" s="48" t="n">
        <v>80</v>
      </c>
    </row>
    <row r="7" customFormat="false" ht="19.5" hidden="false" customHeight="true" outlineLevel="0" collapsed="false">
      <c r="B7" s="47" t="s">
        <v>35</v>
      </c>
      <c r="C7" s="46" t="n">
        <f aca="false">C5*C6</f>
        <v>8799.2</v>
      </c>
      <c r="D7" s="46" t="n">
        <f aca="false">D5*D6</f>
        <v>1776.04</v>
      </c>
      <c r="E7" s="46" t="n">
        <f aca="false">E5*E6</f>
        <v>2876.8</v>
      </c>
    </row>
    <row r="8" customFormat="false" ht="19.5" hidden="false" customHeight="true" outlineLevel="0" collapsed="false">
      <c r="B8" s="47" t="s">
        <v>36</v>
      </c>
      <c r="C8" s="46" t="n">
        <f aca="false">C5*C6*12</f>
        <v>105590.4</v>
      </c>
      <c r="D8" s="46" t="n">
        <f aca="false">D5*D6*12</f>
        <v>21312.48</v>
      </c>
      <c r="E8" s="46" t="n">
        <f aca="false">E5*E6*12</f>
        <v>34521.6</v>
      </c>
    </row>
    <row r="9" customFormat="false" ht="19.5" hidden="false" customHeight="true" outlineLevel="0" collapsed="false">
      <c r="B9" s="49" t="s">
        <v>37</v>
      </c>
      <c r="C9" s="50"/>
      <c r="D9" s="50"/>
      <c r="E9" s="50"/>
    </row>
    <row r="10" customFormat="false" ht="19.5" hidden="false" customHeight="true" outlineLevel="0" collapsed="false">
      <c r="C10" s="50"/>
      <c r="D10" s="50"/>
      <c r="E10" s="50"/>
    </row>
    <row r="11" customFormat="false" ht="19.5" hidden="false" customHeight="true" outlineLevel="0" collapsed="false">
      <c r="B11" s="44" t="s">
        <v>38</v>
      </c>
      <c r="C11" s="44"/>
      <c r="E11" s="50"/>
    </row>
    <row r="12" customFormat="false" ht="19.5" hidden="false" customHeight="true" outlineLevel="0" collapsed="false">
      <c r="B12" s="47" t="s">
        <v>39</v>
      </c>
      <c r="C12" s="46" t="n">
        <f aca="false">SUM(C7:E7)</f>
        <v>13452.04</v>
      </c>
      <c r="E12" s="50"/>
    </row>
    <row r="13" customFormat="false" ht="19.5" hidden="false" customHeight="true" outlineLevel="0" collapsed="false">
      <c r="B13" s="47" t="s">
        <v>40</v>
      </c>
      <c r="C13" s="46" t="n">
        <f aca="false">SUM(C8:E8)</f>
        <v>161424.48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AW25"/>
  <sheetViews>
    <sheetView showFormulas="false" showGridLines="false" showRowColHeaders="true" showZeros="true" rightToLeft="false" tabSelected="false" showOutlineSymbols="true" defaultGridColor="true" view="normal" topLeftCell="B10" colorId="64" zoomScale="110" zoomScaleNormal="110" zoomScalePageLayoutView="100" workbookViewId="0">
      <selection pane="topLeft" activeCell="V7" activeCellId="0" sqref="V7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true" hidden="false" outlineLevel="0" max="16" min="16" style="16" width="8.38"/>
    <col collapsed="false" customWidth="true" hidden="false" outlineLevel="0" max="17" min="17" style="16" width="33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3"/>
    <col collapsed="false" customWidth="true" hidden="false" outlineLevel="0" max="36" min="36" style="16" width="10.62"/>
    <col collapsed="false" customWidth="true" hidden="false" outlineLevel="0" max="40" min="37" style="16" width="11.75"/>
    <col collapsed="false" customWidth="true" hidden="false" outlineLevel="0" max="42" min="41" style="16" width="11.38"/>
    <col collapsed="false" customWidth="true" hidden="false" outlineLevel="0" max="43" min="43" style="16" width="12.88"/>
    <col collapsed="false" customWidth="true" hidden="false" outlineLevel="0" max="44" min="44" style="16" width="3.38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256" min="50" style="16" width="10.62"/>
    <col collapsed="false" customWidth="true" hidden="false" outlineLevel="0" max="1024" min="1013" style="1" width="8.5"/>
  </cols>
  <sheetData>
    <row r="1" customFormat="false" ht="15" hidden="false" customHeight="true" outlineLevel="0" collapsed="false"/>
    <row r="2" s="51" customFormat="true" ht="24.75" hidden="false" customHeight="true" outlineLevel="0" collapsed="false">
      <c r="B2" s="52" t="str">
        <f aca="false">"BASE "&amp;Resumo!B5&amp;" - PLANILHA DE FORMAÇÃO DE PREÇOS"</f>
        <v>BASE MARINGÁ - PLANILHA DE FORMAÇÃO DE PREÇOS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  <c r="Q2" s="42" t="str">
        <f aca="false">"BASE "&amp;Resumo!B5&amp;" – PLANILHA DE DISTRIBUIÇÃO DE CUSTOS POR UNIDADE"</f>
        <v>BASE MARINGÁ – PLANILHA DE DISTRIBUIÇÃO DE CUSTOS POR UNIDADE</v>
      </c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54"/>
      <c r="AI2" s="55" t="str">
        <f aca="false">"BASE "&amp;Resumo!B5&amp;" – PLANILHA RESUMO DE CUSTOS DA BASE"</f>
        <v>BASE MARINGÁ – PLANILHA RESUMO DE CUSTOS DA BASE</v>
      </c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</row>
    <row r="3" customFormat="false" ht="15" hidden="false" customHeight="true" outlineLevel="0" collapsed="false">
      <c r="B3" s="51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</row>
    <row r="4" s="33" customFormat="true" ht="19.5" hidden="false" customHeight="true" outlineLevel="0" collapsed="false">
      <c r="B4" s="45" t="s">
        <v>41</v>
      </c>
      <c r="C4" s="45" t="s">
        <v>42</v>
      </c>
      <c r="D4" s="45"/>
      <c r="E4" s="45"/>
      <c r="F4" s="45"/>
      <c r="G4" s="45"/>
      <c r="H4" s="45" t="s">
        <v>43</v>
      </c>
      <c r="I4" s="45"/>
      <c r="J4" s="45"/>
      <c r="K4" s="45"/>
      <c r="L4" s="45"/>
      <c r="M4" s="45"/>
      <c r="N4" s="45"/>
      <c r="O4" s="45" t="s">
        <v>28</v>
      </c>
      <c r="P4" s="53"/>
      <c r="Q4" s="45" t="s">
        <v>44</v>
      </c>
      <c r="R4" s="56" t="s">
        <v>45</v>
      </c>
      <c r="S4" s="56"/>
      <c r="T4" s="56"/>
      <c r="U4" s="56"/>
      <c r="V4" s="56" t="s">
        <v>46</v>
      </c>
      <c r="W4" s="56"/>
      <c r="X4" s="56"/>
      <c r="Y4" s="56"/>
      <c r="Z4" s="56" t="s">
        <v>47</v>
      </c>
      <c r="AA4" s="56"/>
      <c r="AB4" s="56"/>
      <c r="AC4" s="56"/>
      <c r="AD4" s="56" t="s">
        <v>48</v>
      </c>
      <c r="AE4" s="56"/>
      <c r="AF4" s="56"/>
      <c r="AG4" s="56"/>
      <c r="AI4" s="45" t="s">
        <v>44</v>
      </c>
      <c r="AJ4" s="57" t="s">
        <v>49</v>
      </c>
      <c r="AK4" s="57"/>
      <c r="AL4" s="57"/>
      <c r="AM4" s="57"/>
      <c r="AN4" s="57"/>
      <c r="AO4" s="57" t="s">
        <v>50</v>
      </c>
      <c r="AP4" s="57"/>
      <c r="AQ4" s="57"/>
      <c r="AR4" s="58"/>
      <c r="AS4" s="57" t="str">
        <f aca="false">"Resumo de Custos da Base "&amp;Resumo!B5</f>
        <v>Resumo de Custos da Base MARINGÁ</v>
      </c>
      <c r="AT4" s="57"/>
      <c r="AU4" s="57"/>
      <c r="AV4" s="57"/>
      <c r="AW4" s="57"/>
    </row>
    <row r="5" customFormat="false" ht="39.75" hidden="false" customHeight="true" outlineLevel="0" collapsed="false">
      <c r="B5" s="45"/>
      <c r="C5" s="45" t="s">
        <v>28</v>
      </c>
      <c r="D5" s="45" t="s">
        <v>51</v>
      </c>
      <c r="E5" s="45" t="s">
        <v>52</v>
      </c>
      <c r="F5" s="45" t="s">
        <v>53</v>
      </c>
      <c r="G5" s="45" t="s">
        <v>54</v>
      </c>
      <c r="H5" s="45" t="s">
        <v>55</v>
      </c>
      <c r="I5" s="45" t="s">
        <v>56</v>
      </c>
      <c r="J5" s="45" t="s">
        <v>57</v>
      </c>
      <c r="K5" s="45" t="s">
        <v>58</v>
      </c>
      <c r="L5" s="45" t="s">
        <v>59</v>
      </c>
      <c r="M5" s="45" t="s">
        <v>60</v>
      </c>
      <c r="N5" s="45" t="s">
        <v>61</v>
      </c>
      <c r="O5" s="45"/>
      <c r="P5" s="53"/>
      <c r="Q5" s="45"/>
      <c r="R5" s="45"/>
      <c r="S5" s="45" t="s">
        <v>62</v>
      </c>
      <c r="T5" s="45" t="s">
        <v>63</v>
      </c>
      <c r="U5" s="45" t="s">
        <v>64</v>
      </c>
      <c r="V5" s="45" t="s">
        <v>65</v>
      </c>
      <c r="W5" s="45" t="s">
        <v>66</v>
      </c>
      <c r="X5" s="45" t="s">
        <v>67</v>
      </c>
      <c r="Y5" s="45" t="s">
        <v>68</v>
      </c>
      <c r="Z5" s="45" t="s">
        <v>69</v>
      </c>
      <c r="AA5" s="45"/>
      <c r="AB5" s="45"/>
      <c r="AC5" s="45" t="n">
        <f aca="false">N20+'Base Cascavel'!N19</f>
        <v>1010.6</v>
      </c>
      <c r="AD5" s="56" t="s">
        <v>70</v>
      </c>
      <c r="AE5" s="56" t="s">
        <v>62</v>
      </c>
      <c r="AF5" s="56" t="s">
        <v>63</v>
      </c>
      <c r="AG5" s="56" t="s">
        <v>64</v>
      </c>
      <c r="AI5" s="45"/>
      <c r="AJ5" s="56" t="s">
        <v>71</v>
      </c>
      <c r="AK5" s="56" t="s">
        <v>70</v>
      </c>
      <c r="AL5" s="56" t="s">
        <v>62</v>
      </c>
      <c r="AM5" s="56" t="s">
        <v>63</v>
      </c>
      <c r="AN5" s="56" t="s">
        <v>64</v>
      </c>
      <c r="AO5" s="56" t="s">
        <v>72</v>
      </c>
      <c r="AP5" s="56" t="s">
        <v>73</v>
      </c>
      <c r="AQ5" s="56" t="s">
        <v>74</v>
      </c>
      <c r="AR5" s="54"/>
      <c r="AS5" s="56" t="s">
        <v>75</v>
      </c>
      <c r="AT5" s="56" t="s">
        <v>70</v>
      </c>
      <c r="AU5" s="56" t="s">
        <v>62</v>
      </c>
      <c r="AV5" s="56" t="s">
        <v>63</v>
      </c>
      <c r="AW5" s="56" t="s">
        <v>64</v>
      </c>
    </row>
    <row r="6" customFormat="false" ht="19.5" hidden="false" customHeight="true" outlineLevel="0" collapsed="false">
      <c r="B6" s="45"/>
      <c r="C6" s="59" t="s">
        <v>76</v>
      </c>
      <c r="D6" s="59" t="n">
        <v>1</v>
      </c>
      <c r="E6" s="59" t="n">
        <v>0.35</v>
      </c>
      <c r="F6" s="59" t="n">
        <v>0.1</v>
      </c>
      <c r="G6" s="45"/>
      <c r="H6" s="59" t="n">
        <v>1</v>
      </c>
      <c r="I6" s="59" t="n">
        <v>1.2</v>
      </c>
      <c r="J6" s="59" t="n">
        <v>2</v>
      </c>
      <c r="K6" s="59" t="n">
        <v>4</v>
      </c>
      <c r="L6" s="59" t="n">
        <v>1.1</v>
      </c>
      <c r="M6" s="59" t="n">
        <v>1.1</v>
      </c>
      <c r="N6" s="45"/>
      <c r="O6" s="45"/>
      <c r="P6" s="60"/>
      <c r="Q6" s="45"/>
      <c r="R6" s="59" t="s">
        <v>77</v>
      </c>
      <c r="S6" s="59" t="s">
        <v>78</v>
      </c>
      <c r="T6" s="59" t="s">
        <v>79</v>
      </c>
      <c r="U6" s="59" t="s">
        <v>80</v>
      </c>
      <c r="V6" s="45"/>
      <c r="W6" s="45"/>
      <c r="X6" s="45"/>
      <c r="Y6" s="45"/>
      <c r="Z6" s="35" t="s">
        <v>70</v>
      </c>
      <c r="AA6" s="35" t="s">
        <v>62</v>
      </c>
      <c r="AB6" s="35" t="s">
        <v>63</v>
      </c>
      <c r="AC6" s="35" t="s">
        <v>64</v>
      </c>
      <c r="AD6" s="56"/>
      <c r="AE6" s="56"/>
      <c r="AF6" s="56"/>
      <c r="AG6" s="56"/>
      <c r="AI6" s="45"/>
      <c r="AJ6" s="56"/>
      <c r="AK6" s="56"/>
      <c r="AL6" s="56"/>
      <c r="AM6" s="56"/>
      <c r="AN6" s="56"/>
      <c r="AO6" s="56"/>
      <c r="AP6" s="56"/>
      <c r="AQ6" s="56"/>
      <c r="AR6" s="61"/>
      <c r="AS6" s="56"/>
      <c r="AT6" s="35" t="s">
        <v>77</v>
      </c>
      <c r="AU6" s="35" t="s">
        <v>78</v>
      </c>
      <c r="AV6" s="35" t="s">
        <v>79</v>
      </c>
      <c r="AW6" s="35" t="s">
        <v>80</v>
      </c>
    </row>
    <row r="7" s="2" customFormat="true" ht="15" hidden="false" customHeight="true" outlineLevel="0" collapsed="false">
      <c r="B7" s="62" t="s">
        <v>81</v>
      </c>
      <c r="C7" s="63" t="n">
        <f aca="false">VLOOKUP($B7,Unidades!$D$5:$N$29,6,FALSE())</f>
        <v>334.4</v>
      </c>
      <c r="D7" s="63" t="n">
        <f aca="false">VLOOKUP($B7,Unidades!$D$5:$N$29,7,FALSE())</f>
        <v>296</v>
      </c>
      <c r="E7" s="63" t="n">
        <f aca="false">VLOOKUP($B7,Unidades!$D$5:$N$29,8,FALSE())</f>
        <v>38.4</v>
      </c>
      <c r="F7" s="63" t="n">
        <f aca="false">VLOOKUP($B7,Unidades!$D$5:$N$29,9,FALSE())</f>
        <v>0</v>
      </c>
      <c r="G7" s="63" t="n">
        <f aca="false">D7+E7*$E$6+F7*$F$6</f>
        <v>309.44</v>
      </c>
      <c r="H7" s="64" t="n">
        <f aca="false">IF(G7&lt;750,1.5,IF(G7&lt;2000,2,3))</f>
        <v>1.5</v>
      </c>
      <c r="I7" s="64" t="n">
        <f aca="false">$I$6*H7</f>
        <v>1.8</v>
      </c>
      <c r="J7" s="64" t="str">
        <f aca="false">VLOOKUP($B7,Unidades!$D$5:$N$29,10,FALSE())</f>
        <v>NÃO</v>
      </c>
      <c r="K7" s="64" t="str">
        <f aca="false">VLOOKUP($B7,Unidades!$D$5:$N$29,11,FALSE())</f>
        <v>NÃO</v>
      </c>
      <c r="L7" s="64" t="n">
        <f aca="false">$L$6*H7+(IF(J7="SIM",$J$6,0))</f>
        <v>1.65</v>
      </c>
      <c r="M7" s="64" t="n">
        <f aca="false">$M$6*H7+(IF(J7="SIM",$J$6,0))+(IF(K7="SIM",$K$6,0))</f>
        <v>1.65</v>
      </c>
      <c r="N7" s="64" t="n">
        <f aca="false">H7*12+I7*4+L7*2+M7</f>
        <v>30.15</v>
      </c>
      <c r="O7" s="65" t="n">
        <f aca="false">IF(K7="não", N7*(C$23+D$23),N7*(C$23+D$23)+(M7*+E$23))</f>
        <v>1681.767</v>
      </c>
      <c r="P7" s="66"/>
      <c r="Q7" s="22" t="str">
        <f aca="false">B7</f>
        <v>APS ASTORGA</v>
      </c>
      <c r="R7" s="24" t="n">
        <f aca="false">H7*($C$23+$D$23)</f>
        <v>83.67</v>
      </c>
      <c r="S7" s="24" t="n">
        <f aca="false">I7*($C$23+$D$23)</f>
        <v>100.404</v>
      </c>
      <c r="T7" s="24" t="n">
        <f aca="false">L7*($C$23+$D$23)</f>
        <v>92.037</v>
      </c>
      <c r="U7" s="24" t="n">
        <f aca="false">IF(K7="não",M7*($C$23+$D$23),M7*(C$23+D$23+E$23))</f>
        <v>92.037</v>
      </c>
      <c r="V7" s="24" t="n">
        <f aca="false">VLOOKUP(Q7,'Desl. Base Maringá'!$C$5:$S$17,13,FALSE())*($C$23+$D$23+$E$23*(VLOOKUP(Q7,'Desl. Base Maringá'!$C$5:$S$17,17,FALSE())/12))</f>
        <v>192.441</v>
      </c>
      <c r="W7" s="24" t="n">
        <f aca="false">VLOOKUP(Q7,'Desl. Base Maringá'!$C$5:$Q$17,15,FALSE())*(2+(VLOOKUP(Q7,'Desl. Base Maringá'!$C$5:$S$17,17,FALSE())/12))</f>
        <v>0</v>
      </c>
      <c r="X7" s="24" t="n">
        <f aca="false">VLOOKUP(Q7,'Desl. Base Maringá'!$C$5:$Q$17,14,FALSE())</f>
        <v>0</v>
      </c>
      <c r="Y7" s="24" t="n">
        <f aca="false">VLOOKUP(Q7,'Desl. Base Maringá'!$C$5:$Q$17,13,FALSE())*'Desl. Base Maringá'!$E$22+'Desl. Base Maringá'!$E$23*N7/12</f>
        <v>199.242375</v>
      </c>
      <c r="Z7" s="24" t="n">
        <f aca="false">(H7/$AC$5)*'Equipe Técnica'!$C$13</f>
        <v>239.596991886008</v>
      </c>
      <c r="AA7" s="24" t="n">
        <f aca="false">(I7/$AC$5)*'Equipe Técnica'!$C$13</f>
        <v>287.51639026321</v>
      </c>
      <c r="AB7" s="24" t="n">
        <f aca="false">(L7/$AC$5)*'Equipe Técnica'!$C$13</f>
        <v>263.556691074609</v>
      </c>
      <c r="AC7" s="24" t="n">
        <f aca="false">(M7/$AC$5)*'Equipe Técnica'!$C$13</f>
        <v>263.556691074609</v>
      </c>
      <c r="AD7" s="24" t="n">
        <f aca="false">R7+(($V7+$W7+$X7+$Y7)*12/19)+$Z7</f>
        <v>570.645965570219</v>
      </c>
      <c r="AE7" s="24" t="n">
        <f aca="false">S7+(($V7+$W7+$X7+$Y7)*12/19)+$AA7</f>
        <v>635.299363947421</v>
      </c>
      <c r="AF7" s="24" t="n">
        <f aca="false">T7+(($V7+$W7+$X7+$Y7)*12/19)+$AB7</f>
        <v>602.97266475882</v>
      </c>
      <c r="AG7" s="24" t="n">
        <f aca="false">U7+(($V7+$W7+$X7+$Y7)*12/19)+$AC7</f>
        <v>602.97266475882</v>
      </c>
      <c r="AI7" s="22" t="str">
        <f aca="false">B7</f>
        <v>APS ASTORGA</v>
      </c>
      <c r="AJ7" s="67" t="n">
        <f aca="false">VLOOKUP(AI7,Unidades!D$5:H$29,5,)</f>
        <v>0.2979</v>
      </c>
      <c r="AK7" s="46" t="n">
        <f aca="false">AD7*(1+$AJ7)</f>
        <v>740.641398713587</v>
      </c>
      <c r="AL7" s="46" t="n">
        <f aca="false">AE7*(1+$AJ7)</f>
        <v>824.555044467357</v>
      </c>
      <c r="AM7" s="46" t="n">
        <f aca="false">AF7*(1+$AJ7)</f>
        <v>782.598221590472</v>
      </c>
      <c r="AN7" s="46" t="n">
        <f aca="false">AG7*(1+$AJ7)</f>
        <v>782.598221590472</v>
      </c>
      <c r="AO7" s="46" t="n">
        <f aca="false">((AK7*12)+(AL7*4)+(AM7*2)+AN7)/12</f>
        <v>1211.14263560032</v>
      </c>
      <c r="AP7" s="46" t="n">
        <f aca="false">AO7*3</f>
        <v>3633.42790680097</v>
      </c>
      <c r="AQ7" s="46" t="n">
        <f aca="false">AO7+AP7</f>
        <v>4844.5705424013</v>
      </c>
      <c r="AR7" s="68"/>
      <c r="AS7" s="69" t="s">
        <v>82</v>
      </c>
      <c r="AT7" s="46" t="n">
        <f aca="false">AK20</f>
        <v>8795.15738430716</v>
      </c>
      <c r="AU7" s="46" t="n">
        <f aca="false">AL20</f>
        <v>10141.7260390083</v>
      </c>
      <c r="AV7" s="46" t="n">
        <f aca="false">AM20</f>
        <v>11719.1989182305</v>
      </c>
      <c r="AW7" s="46" t="n">
        <f aca="false">AN20</f>
        <v>17887.7278025759</v>
      </c>
    </row>
    <row r="8" s="2" customFormat="true" ht="15" hidden="false" customHeight="true" outlineLevel="0" collapsed="false">
      <c r="B8" s="62" t="s">
        <v>83</v>
      </c>
      <c r="C8" s="63" t="n">
        <f aca="false">VLOOKUP($B8,Unidades!$D$5:$N$29,6,FALSE())</f>
        <v>2272.18</v>
      </c>
      <c r="D8" s="63" t="n">
        <f aca="false">VLOOKUP($B8,Unidades!$D$5:$N$29,7,FALSE())</f>
        <v>1403.37</v>
      </c>
      <c r="E8" s="63" t="n">
        <f aca="false">VLOOKUP($B8,Unidades!$D$5:$N$29,8,FALSE())</f>
        <v>651.61</v>
      </c>
      <c r="F8" s="63" t="n">
        <f aca="false">VLOOKUP($B8,Unidades!$D$5:$N$29,9,FALSE())</f>
        <v>217.2</v>
      </c>
      <c r="G8" s="63" t="n">
        <f aca="false">D8+E8*$E$6+F8*$F$6</f>
        <v>1653.1535</v>
      </c>
      <c r="H8" s="64" t="n">
        <f aca="false">IF(G8&lt;750,1.5,IF(G8&lt;2000,2,3))</f>
        <v>2</v>
      </c>
      <c r="I8" s="64" t="n">
        <f aca="false">$I$6*H8</f>
        <v>2.4</v>
      </c>
      <c r="J8" s="64" t="str">
        <f aca="false">VLOOKUP($B8,Unidades!$D$5:$N$29,10,FALSE())</f>
        <v>SIM</v>
      </c>
      <c r="K8" s="64" t="str">
        <f aca="false">VLOOKUP($B8,Unidades!$D$5:$N$29,11,FALSE())</f>
        <v>SIM</v>
      </c>
      <c r="L8" s="64" t="n">
        <f aca="false">$L$6*H8+(IF(J8="SIM",$J$6,0))</f>
        <v>4.2</v>
      </c>
      <c r="M8" s="64" t="n">
        <f aca="false">$M$6*H8+(IF(J8="SIM",$J$6,0))+(IF(K8="SIM",$K$6,0))</f>
        <v>8.2</v>
      </c>
      <c r="N8" s="64" t="n">
        <f aca="false">H8*12+I8*4+L8*2+M8</f>
        <v>50.2</v>
      </c>
      <c r="O8" s="65" t="n">
        <f aca="false">IF(K8="não", N8*(C$23+D$23),N8*(C$23+D$23)+(M8*+E$23))</f>
        <v>3099.538</v>
      </c>
      <c r="P8" s="66"/>
      <c r="Q8" s="22" t="str">
        <f aca="false">B8</f>
        <v>APS CAMPO MOURÃO</v>
      </c>
      <c r="R8" s="24" t="n">
        <f aca="false">H8*($C$23+$D$23)</f>
        <v>111.56</v>
      </c>
      <c r="S8" s="24" t="n">
        <f aca="false">I8*($C$23+$D$23)</f>
        <v>133.872</v>
      </c>
      <c r="T8" s="24" t="n">
        <f aca="false">L8*($C$23+$D$23)</f>
        <v>234.276</v>
      </c>
      <c r="U8" s="24" t="n">
        <f aca="false">IF(K8="não",M8*($C$23+$D$23),M8*(C$23+D$23+E$23))</f>
        <v>756.778</v>
      </c>
      <c r="V8" s="24" t="n">
        <f aca="false">VLOOKUP(Q8,'Desl. Base Maringá'!$C$5:$S$17,13,FALSE())*($C$23+$D$23+$E$23*(VLOOKUP(Q8,'Desl. Base Maringá'!$C$5:$S$17,17,FALSE())/12))</f>
        <v>152.9385</v>
      </c>
      <c r="W8" s="24" t="n">
        <f aca="false">VLOOKUP(Q8,'Desl. Base Maringá'!$C$5:$Q$17,15,FALSE())*(2+(VLOOKUP(Q8,'Desl. Base Maringá'!$C$5:$S$17,17,FALSE())/12))</f>
        <v>0</v>
      </c>
      <c r="X8" s="24" t="n">
        <f aca="false">VLOOKUP(Q8,'Desl. Base Maringá'!$C$5:$Q$17,14,FALSE())</f>
        <v>0</v>
      </c>
      <c r="Y8" s="24" t="n">
        <f aca="false">VLOOKUP(Q8,'Desl. Base Maringá'!$C$5:$Q$17,13,FALSE())*'Desl. Base Maringá'!$E$22+'Desl. Base Maringá'!$E$23*N8/12</f>
        <v>166.068166666667</v>
      </c>
      <c r="Z8" s="24" t="n">
        <f aca="false">(H8/$AC$5)*'Equipe Técnica'!$C$13</f>
        <v>319.462655848011</v>
      </c>
      <c r="AA8" s="24" t="n">
        <f aca="false">(I8/$AC$5)*'Equipe Técnica'!$C$13</f>
        <v>383.355187017613</v>
      </c>
      <c r="AB8" s="24" t="n">
        <f aca="false">(L8/$AC$5)*'Equipe Técnica'!$C$13</f>
        <v>670.871577280823</v>
      </c>
      <c r="AC8" s="24" t="n">
        <f aca="false">(M8/$AC$5)*'Equipe Técnica'!$C$13</f>
        <v>1309.79688897685</v>
      </c>
      <c r="AD8" s="24" t="n">
        <f aca="false">R8+(($V8+$W8+$X8+$Y8)*12/19)+$Z8</f>
        <v>632.500550584853</v>
      </c>
      <c r="AE8" s="24" t="n">
        <f aca="false">S8+(($V8+$W8+$X8+$Y8)*12/19)+$AA8</f>
        <v>718.705081754456</v>
      </c>
      <c r="AF8" s="24" t="n">
        <f aca="false">T8+(($V8+$W8+$X8+$Y8)*12/19)+$AB8</f>
        <v>1106.62547201767</v>
      </c>
      <c r="AG8" s="24" t="n">
        <f aca="false">U8+(($V8+$W8+$X8+$Y8)*12/19)+$AC8</f>
        <v>2268.05278371369</v>
      </c>
      <c r="AI8" s="22" t="str">
        <f aca="false">B8</f>
        <v>APS CAMPO MOURÃO</v>
      </c>
      <c r="AJ8" s="67" t="n">
        <f aca="false">VLOOKUP(AI8,Unidades!D$5:H$29,5,)</f>
        <v>0.3278</v>
      </c>
      <c r="AK8" s="46" t="n">
        <f aca="false">AD8*(1+$AJ8)</f>
        <v>839.834231066568</v>
      </c>
      <c r="AL8" s="46" t="n">
        <f aca="false">AE8*(1+$AJ8)</f>
        <v>954.296607553566</v>
      </c>
      <c r="AM8" s="46" t="n">
        <f aca="false">AF8*(1+$AJ8)</f>
        <v>1469.37730174506</v>
      </c>
      <c r="AN8" s="46" t="n">
        <f aca="false">AG8*(1+$AJ8)</f>
        <v>3011.52048621503</v>
      </c>
      <c r="AO8" s="46" t="n">
        <f aca="false">((AK8*12)+(AL8*4)+(AM8*2)+AN8)/12</f>
        <v>1653.78935772652</v>
      </c>
      <c r="AP8" s="46" t="n">
        <f aca="false">AO8*3</f>
        <v>4961.36807317956</v>
      </c>
      <c r="AQ8" s="46" t="n">
        <f aca="false">AO8+AP8</f>
        <v>6615.15743090608</v>
      </c>
      <c r="AR8" s="68"/>
      <c r="AS8" s="69" t="s">
        <v>84</v>
      </c>
      <c r="AT8" s="46" t="n">
        <f aca="false">AT7*12</f>
        <v>105541.888611686</v>
      </c>
      <c r="AU8" s="46" t="n">
        <f aca="false">AU7*4</f>
        <v>40566.9041560333</v>
      </c>
      <c r="AV8" s="46" t="n">
        <f aca="false">AV7*2</f>
        <v>23438.3978364609</v>
      </c>
      <c r="AW8" s="46" t="n">
        <f aca="false">AW7</f>
        <v>17887.7278025759</v>
      </c>
    </row>
    <row r="9" s="2" customFormat="true" ht="15" hidden="false" customHeight="true" outlineLevel="0" collapsed="false">
      <c r="B9" s="62" t="s">
        <v>85</v>
      </c>
      <c r="C9" s="63" t="n">
        <f aca="false">VLOOKUP($B9,Unidades!$D$5:$N$29,6,FALSE())</f>
        <v>948.9</v>
      </c>
      <c r="D9" s="63" t="n">
        <f aca="false">VLOOKUP($B9,Unidades!$D$5:$N$29,7,FALSE())</f>
        <v>585</v>
      </c>
      <c r="E9" s="63" t="n">
        <f aca="false">VLOOKUP($B9,Unidades!$D$5:$N$29,8,FALSE())</f>
        <v>363.9</v>
      </c>
      <c r="F9" s="63" t="n">
        <f aca="false">VLOOKUP($B9,Unidades!$D$5:$N$29,9,FALSE())</f>
        <v>0</v>
      </c>
      <c r="G9" s="63" t="n">
        <f aca="false">D9+E9*$E$6+F9*$F$6</f>
        <v>712.365</v>
      </c>
      <c r="H9" s="64" t="n">
        <f aca="false">IF(G9&lt;750,1.5,IF(G9&lt;2000,2,3))</f>
        <v>1.5</v>
      </c>
      <c r="I9" s="64" t="n">
        <f aca="false">$I$6*H9</f>
        <v>1.8</v>
      </c>
      <c r="J9" s="64" t="str">
        <f aca="false">VLOOKUP($B9,Unidades!$D$5:$N$29,10,FALSE())</f>
        <v>NÃO</v>
      </c>
      <c r="K9" s="64" t="str">
        <f aca="false">VLOOKUP($B9,Unidades!$D$5:$N$29,11,FALSE())</f>
        <v>NÃO</v>
      </c>
      <c r="L9" s="64" t="n">
        <f aca="false">$L$6*H9+(IF(J9="SIM",$J$6,0))</f>
        <v>1.65</v>
      </c>
      <c r="M9" s="64" t="n">
        <f aca="false">$M$6*H9+(IF(J9="SIM",$J$6,0))+(IF(K9="SIM",$K$6,0))</f>
        <v>1.65</v>
      </c>
      <c r="N9" s="64" t="n">
        <f aca="false">H9*12+I9*4+L9*2+M9</f>
        <v>30.15</v>
      </c>
      <c r="O9" s="65" t="n">
        <f aca="false">IF(K9="não", N9*(C$23+D$23),N9*(C$23+D$23)+(M9*+E$23))</f>
        <v>1681.767</v>
      </c>
      <c r="P9" s="66"/>
      <c r="Q9" s="22" t="str">
        <f aca="false">B9</f>
        <v>APS CIANORTE</v>
      </c>
      <c r="R9" s="24" t="n">
        <f aca="false">H9*($C$23+$D$23)</f>
        <v>83.67</v>
      </c>
      <c r="S9" s="24" t="n">
        <f aca="false">I9*($C$23+$D$23)</f>
        <v>100.404</v>
      </c>
      <c r="T9" s="24" t="n">
        <f aca="false">L9*($C$23+$D$23)</f>
        <v>92.037</v>
      </c>
      <c r="U9" s="24" t="n">
        <f aca="false">IF(K9="não",M9*($C$23+$D$23),M9*(C$23+D$23+E$23))</f>
        <v>92.037</v>
      </c>
      <c r="V9" s="24" t="n">
        <f aca="false">VLOOKUP(Q9,'Desl. Base Maringá'!$C$5:$S$17,13,FALSE())*($C$23+$D$23+$E$23*(VLOOKUP(Q9,'Desl. Base Maringá'!$C$5:$S$17,17,FALSE())/12))</f>
        <v>71.1195</v>
      </c>
      <c r="W9" s="24" t="n">
        <f aca="false">VLOOKUP(Q9,'Desl. Base Maringá'!$C$5:$Q$17,15,FALSE())*(2+(VLOOKUP(Q9,'Desl. Base Maringá'!$C$5:$S$17,17,FALSE())/12))</f>
        <v>0</v>
      </c>
      <c r="X9" s="24" t="n">
        <f aca="false">VLOOKUP(Q9,'Desl. Base Maringá'!$C$5:$Q$17,14,FALSE())</f>
        <v>0</v>
      </c>
      <c r="Y9" s="24" t="n">
        <f aca="false">VLOOKUP(Q9,'Desl. Base Maringá'!$C$5:$Q$17,13,FALSE())*'Desl. Base Maringá'!$E$22+'Desl. Base Maringá'!$E$23*N9/12</f>
        <v>84.641625</v>
      </c>
      <c r="Z9" s="24" t="n">
        <f aca="false">(H9/$AC$5)*'Equipe Técnica'!$C$13</f>
        <v>239.596991886008</v>
      </c>
      <c r="AA9" s="24" t="n">
        <f aca="false">(I9/$AC$5)*'Equipe Técnica'!$C$13</f>
        <v>287.51639026321</v>
      </c>
      <c r="AB9" s="24" t="n">
        <f aca="false">(L9/$AC$5)*'Equipe Técnica'!$C$13</f>
        <v>263.556691074609</v>
      </c>
      <c r="AC9" s="24" t="n">
        <f aca="false">(M9/$AC$5)*'Equipe Técnica'!$C$13</f>
        <v>263.556691074609</v>
      </c>
      <c r="AD9" s="24" t="n">
        <f aca="false">R9+(($V9+$W9+$X9+$Y9)*12/19)+$Z9</f>
        <v>421.642439254429</v>
      </c>
      <c r="AE9" s="24" t="n">
        <f aca="false">S9+(($V9+$W9+$X9+$Y9)*12/19)+$AA9</f>
        <v>486.295837631631</v>
      </c>
      <c r="AF9" s="24" t="n">
        <f aca="false">T9+(($V9+$W9+$X9+$Y9)*12/19)+$AB9</f>
        <v>453.96913844303</v>
      </c>
      <c r="AG9" s="24" t="n">
        <f aca="false">U9+(($V9+$W9+$X9+$Y9)*12/19)+$AC9</f>
        <v>453.96913844303</v>
      </c>
      <c r="AI9" s="22" t="str">
        <f aca="false">B9</f>
        <v>APS CIANORTE</v>
      </c>
      <c r="AJ9" s="67" t="n">
        <f aca="false">VLOOKUP(AI9,Unidades!D$5:H$29,5,)</f>
        <v>0.2979</v>
      </c>
      <c r="AK9" s="46" t="n">
        <f aca="false">AD9*(1+$AJ9)</f>
        <v>547.249721908324</v>
      </c>
      <c r="AL9" s="46" t="n">
        <f aca="false">AE9*(1+$AJ9)</f>
        <v>631.163367662094</v>
      </c>
      <c r="AM9" s="46" t="n">
        <f aca="false">AF9*(1+$AJ9)</f>
        <v>589.206544785209</v>
      </c>
      <c r="AN9" s="46" t="n">
        <f aca="false">AG9*(1+$AJ9)</f>
        <v>589.206544785209</v>
      </c>
      <c r="AO9" s="46" t="n">
        <f aca="false">((AK9*12)+(AL9*4)+(AM9*2)+AN9)/12</f>
        <v>904.939147325324</v>
      </c>
      <c r="AP9" s="46" t="n">
        <f aca="false">AO9*3</f>
        <v>2714.81744197597</v>
      </c>
      <c r="AQ9" s="46" t="n">
        <f aca="false">AO9+AP9</f>
        <v>3619.7565893013</v>
      </c>
      <c r="AR9" s="68"/>
      <c r="AS9" s="68"/>
      <c r="AT9" s="70"/>
      <c r="AU9" s="70"/>
      <c r="AV9" s="70"/>
      <c r="AW9" s="70"/>
    </row>
    <row r="10" s="2" customFormat="true" ht="15" hidden="false" customHeight="true" outlineLevel="0" collapsed="false">
      <c r="B10" s="62" t="s">
        <v>86</v>
      </c>
      <c r="C10" s="63" t="n">
        <f aca="false">VLOOKUP($B10,Unidades!$D$5:$N$29,6,FALSE())</f>
        <v>334.4</v>
      </c>
      <c r="D10" s="63" t="n">
        <f aca="false">VLOOKUP($B10,Unidades!$D$5:$N$29,7,FALSE())</f>
        <v>296</v>
      </c>
      <c r="E10" s="63" t="n">
        <f aca="false">VLOOKUP($B10,Unidades!$D$5:$N$29,8,FALSE())</f>
        <v>38.4</v>
      </c>
      <c r="F10" s="63" t="n">
        <f aca="false">VLOOKUP($B10,Unidades!$D$5:$N$29,9,FALSE())</f>
        <v>0</v>
      </c>
      <c r="G10" s="63" t="n">
        <f aca="false">D10+E10*$E$6+F10*$F$6</f>
        <v>309.44</v>
      </c>
      <c r="H10" s="64" t="n">
        <f aca="false">IF(G10&lt;750,1.5,IF(G10&lt;2000,2,3))</f>
        <v>1.5</v>
      </c>
      <c r="I10" s="64" t="n">
        <f aca="false">$I$6*H10</f>
        <v>1.8</v>
      </c>
      <c r="J10" s="64" t="str">
        <f aca="false">VLOOKUP($B10,Unidades!$D$5:$N$29,10,FALSE())</f>
        <v>NÃO</v>
      </c>
      <c r="K10" s="64" t="str">
        <f aca="false">VLOOKUP($B10,Unidades!$D$5:$N$29,11,FALSE())</f>
        <v>NÃO</v>
      </c>
      <c r="L10" s="64" t="n">
        <f aca="false">$L$6*H10+(IF(J10="SIM",$J$6,0))</f>
        <v>1.65</v>
      </c>
      <c r="M10" s="64" t="n">
        <f aca="false">$M$6*H10+(IF(J10="SIM",$J$6,0))+(IF(K10="SIM",$K$6,0))</f>
        <v>1.65</v>
      </c>
      <c r="N10" s="64" t="n">
        <f aca="false">H10*12+I10*4+L10*2+M10</f>
        <v>30.15</v>
      </c>
      <c r="O10" s="65" t="n">
        <f aca="false">IF(K10="não", N10*(C$23+D$23),N10*(C$23+D$23)+(M10*+E$23))</f>
        <v>1681.767</v>
      </c>
      <c r="P10" s="66"/>
      <c r="Q10" s="22" t="str">
        <f aca="false">B10</f>
        <v>APS COLORADO</v>
      </c>
      <c r="R10" s="24" t="n">
        <f aca="false">H10*($C$23+$D$23)</f>
        <v>83.67</v>
      </c>
      <c r="S10" s="24" t="n">
        <f aca="false">I10*($C$23+$D$23)</f>
        <v>100.404</v>
      </c>
      <c r="T10" s="24" t="n">
        <f aca="false">L10*($C$23+$D$23)</f>
        <v>92.037</v>
      </c>
      <c r="U10" s="24" t="n">
        <f aca="false">IF(K10="não",M10*($C$23+$D$23),M10*(C$23+D$23+E$23))</f>
        <v>92.037</v>
      </c>
      <c r="V10" s="24" t="n">
        <f aca="false">VLOOKUP(Q10,'Desl. Base Maringá'!$C$5:$S$17,13,FALSE())*($C$23+$D$23+$E$23*(VLOOKUP(Q10,'Desl. Base Maringá'!$C$5:$S$17,17,FALSE())/12))</f>
        <v>77.6271666666667</v>
      </c>
      <c r="W10" s="24" t="n">
        <f aca="false">VLOOKUP(Q10,'Desl. Base Maringá'!$C$5:$Q$17,15,FALSE())*(2+(VLOOKUP(Q10,'Desl. Base Maringá'!$C$5:$S$17,17,FALSE())/12))</f>
        <v>0</v>
      </c>
      <c r="X10" s="24" t="n">
        <f aca="false">VLOOKUP(Q10,'Desl. Base Maringá'!$C$5:$Q$17,14,FALSE())</f>
        <v>0</v>
      </c>
      <c r="Y10" s="24" t="n">
        <f aca="false">VLOOKUP(Q10,'Desl. Base Maringá'!$C$5:$Q$17,13,FALSE())*'Desl. Base Maringá'!$E$22+'Desl. Base Maringá'!$E$23*N10/12</f>
        <v>90.7887916666667</v>
      </c>
      <c r="Z10" s="24" t="n">
        <f aca="false">(H10/$AC$5)*'Equipe Técnica'!$C$13</f>
        <v>239.596991886008</v>
      </c>
      <c r="AA10" s="24" t="n">
        <f aca="false">(I10/$AC$5)*'Equipe Técnica'!$C$13</f>
        <v>287.51639026321</v>
      </c>
      <c r="AB10" s="24" t="n">
        <f aca="false">(L10/$AC$5)*'Equipe Técnica'!$C$13</f>
        <v>263.556691074609</v>
      </c>
      <c r="AC10" s="24" t="n">
        <f aca="false">(M10/$AC$5)*'Equipe Técnica'!$C$13</f>
        <v>263.556691074609</v>
      </c>
      <c r="AD10" s="24" t="n">
        <f aca="false">R10+(($V10+$W10+$X10+$Y10)*12/19)+$Z10</f>
        <v>429.634965570219</v>
      </c>
      <c r="AE10" s="24" t="n">
        <f aca="false">S10+(($V10+$W10+$X10+$Y10)*12/19)+$AA10</f>
        <v>494.288363947421</v>
      </c>
      <c r="AF10" s="24" t="n">
        <f aca="false">T10+(($V10+$W10+$X10+$Y10)*12/19)+$AB10</f>
        <v>461.96166475882</v>
      </c>
      <c r="AG10" s="24" t="n">
        <f aca="false">U10+(($V10+$W10+$X10+$Y10)*12/19)+$AC10</f>
        <v>461.96166475882</v>
      </c>
      <c r="AI10" s="22" t="str">
        <f aca="false">B10</f>
        <v>APS COLORADO</v>
      </c>
      <c r="AJ10" s="67" t="n">
        <f aca="false">VLOOKUP(AI10,Unidades!D$5:H$29,5,)</f>
        <v>0.2979</v>
      </c>
      <c r="AK10" s="46" t="n">
        <f aca="false">AD10*(1+$AJ10)</f>
        <v>557.623221813587</v>
      </c>
      <c r="AL10" s="46" t="n">
        <f aca="false">AE10*(1+$AJ10)</f>
        <v>641.536867567357</v>
      </c>
      <c r="AM10" s="46" t="n">
        <f aca="false">AF10*(1+$AJ10)</f>
        <v>599.580044690472</v>
      </c>
      <c r="AN10" s="46" t="n">
        <f aca="false">AG10*(1+$AJ10)</f>
        <v>599.580044690472</v>
      </c>
      <c r="AO10" s="46" t="n">
        <f aca="false">((AK10*12)+(AL10*4)+(AM10*2)+AN10)/12</f>
        <v>921.363855508658</v>
      </c>
      <c r="AP10" s="46" t="n">
        <f aca="false">AO10*3</f>
        <v>2764.09156652597</v>
      </c>
      <c r="AQ10" s="46" t="n">
        <f aca="false">AO10+AP10</f>
        <v>3685.45542203463</v>
      </c>
      <c r="AR10" s="68"/>
      <c r="AS10" s="71" t="s">
        <v>72</v>
      </c>
      <c r="AT10" s="46" t="n">
        <f aca="false">(SUM(AT8:AW8))/12</f>
        <v>15619.5765338963</v>
      </c>
      <c r="AU10" s="46"/>
      <c r="AV10" s="70"/>
      <c r="AW10" s="70"/>
    </row>
    <row r="11" s="2" customFormat="true" ht="15" hidden="false" customHeight="true" outlineLevel="0" collapsed="false">
      <c r="B11" s="62" t="s">
        <v>87</v>
      </c>
      <c r="C11" s="63" t="n">
        <f aca="false">VLOOKUP($B11,Unidades!$D$5:$N$29,6,FALSE())</f>
        <v>334.4</v>
      </c>
      <c r="D11" s="63" t="n">
        <f aca="false">VLOOKUP($B11,Unidades!$D$5:$N$29,7,FALSE())</f>
        <v>296</v>
      </c>
      <c r="E11" s="63" t="n">
        <f aca="false">VLOOKUP($B11,Unidades!$D$5:$N$29,8,FALSE())</f>
        <v>38.4</v>
      </c>
      <c r="F11" s="63" t="n">
        <f aca="false">VLOOKUP($B11,Unidades!$D$5:$N$29,9,FALSE())</f>
        <v>0</v>
      </c>
      <c r="G11" s="63" t="n">
        <f aca="false">D11+E11*$E$6+F11*$F$6</f>
        <v>309.44</v>
      </c>
      <c r="H11" s="64" t="n">
        <f aca="false">IF(G11&lt;750,1.5,IF(G11&lt;2000,2,3))</f>
        <v>1.5</v>
      </c>
      <c r="I11" s="64" t="n">
        <f aca="false">$I$6*H11</f>
        <v>1.8</v>
      </c>
      <c r="J11" s="64" t="str">
        <f aca="false">VLOOKUP($B11,Unidades!$D$5:$N$29,10,FALSE())</f>
        <v>NÃO</v>
      </c>
      <c r="K11" s="64" t="str">
        <f aca="false">VLOOKUP($B11,Unidades!$D$5:$N$29,11,FALSE())</f>
        <v>NÃO</v>
      </c>
      <c r="L11" s="64" t="n">
        <f aca="false">$L$6*H11+(IF(J11="SIM",$J$6,0))</f>
        <v>1.65</v>
      </c>
      <c r="M11" s="64" t="n">
        <f aca="false">$M$6*H11+(IF(J11="SIM",$J$6,0))+(IF(K11="SIM",$K$6,0))</f>
        <v>1.65</v>
      </c>
      <c r="N11" s="64" t="n">
        <f aca="false">H11*12+I11*4+L11*2+M11</f>
        <v>30.15</v>
      </c>
      <c r="O11" s="65" t="n">
        <f aca="false">IF(K11="não", N11*(C$23+D$23),N11*(C$23+D$23)+(M11*+E$23))</f>
        <v>1681.767</v>
      </c>
      <c r="P11" s="66"/>
      <c r="Q11" s="22" t="str">
        <f aca="false">B11</f>
        <v>APS CRUZEIRO DO OESTE</v>
      </c>
      <c r="R11" s="24" t="n">
        <f aca="false">H11*($C$23+$D$23)</f>
        <v>83.67</v>
      </c>
      <c r="S11" s="24" t="n">
        <f aca="false">I11*($C$23+$D$23)</f>
        <v>100.404</v>
      </c>
      <c r="T11" s="24" t="n">
        <f aca="false">L11*($C$23+$D$23)</f>
        <v>92.037</v>
      </c>
      <c r="U11" s="24" t="n">
        <f aca="false">IF(K11="não",M11*($C$23+$D$23),M11*(C$23+D$23+E$23))</f>
        <v>92.037</v>
      </c>
      <c r="V11" s="24" t="n">
        <f aca="false">VLOOKUP(Q11,'Desl. Base Maringá'!$C$5:$S$17,13,FALSE())*($C$23+$D$23+$E$23*(VLOOKUP(Q11,'Desl. Base Maringá'!$C$5:$S$17,17,FALSE())/12))</f>
        <v>140.193625</v>
      </c>
      <c r="W11" s="24" t="n">
        <f aca="false">VLOOKUP(Q11,'Desl. Base Maringá'!$C$5:$Q$17,15,FALSE())*(2+(VLOOKUP(Q11,'Desl. Base Maringá'!$C$5:$S$17,17,FALSE())/12))</f>
        <v>0</v>
      </c>
      <c r="X11" s="24" t="n">
        <f aca="false">VLOOKUP(Q11,'Desl. Base Maringá'!$C$5:$Q$17,14,FALSE())</f>
        <v>0</v>
      </c>
      <c r="Y11" s="24" t="n">
        <f aca="false">VLOOKUP(Q11,'Desl. Base Maringá'!$C$5:$Q$17,13,FALSE())*'Desl. Base Maringá'!$E$22+'Desl. Base Maringá'!$E$23*N11/12</f>
        <v>143.039708333333</v>
      </c>
      <c r="Z11" s="24" t="n">
        <f aca="false">(H11/$AC$5)*'Equipe Técnica'!$C$13</f>
        <v>239.596991886008</v>
      </c>
      <c r="AA11" s="24" t="n">
        <f aca="false">(I11/$AC$5)*'Equipe Técnica'!$C$13</f>
        <v>287.51639026321</v>
      </c>
      <c r="AB11" s="24" t="n">
        <f aca="false">(L11/$AC$5)*'Equipe Técnica'!$C$13</f>
        <v>263.556691074609</v>
      </c>
      <c r="AC11" s="24" t="n">
        <f aca="false">(M11/$AC$5)*'Equipe Técnica'!$C$13</f>
        <v>263.556691074609</v>
      </c>
      <c r="AD11" s="24" t="n">
        <f aca="false">R11+(($V11+$W11+$X11+$Y11)*12/19)+$Z11</f>
        <v>502.151202412324</v>
      </c>
      <c r="AE11" s="24" t="n">
        <f aca="false">S11+(($V11+$W11+$X11+$Y11)*12/19)+$AA11</f>
        <v>566.804600789526</v>
      </c>
      <c r="AF11" s="24" t="n">
        <f aca="false">T11+(($V11+$W11+$X11+$Y11)*12/19)+$AB11</f>
        <v>534.477901600925</v>
      </c>
      <c r="AG11" s="24" t="n">
        <f aca="false">U11+(($V11+$W11+$X11+$Y11)*12/19)+$AC11</f>
        <v>534.477901600925</v>
      </c>
      <c r="AI11" s="22" t="str">
        <f aca="false">B11</f>
        <v>APS CRUZEIRO DO OESTE</v>
      </c>
      <c r="AJ11" s="67" t="n">
        <f aca="false">VLOOKUP(AI11,Unidades!D$5:H$29,5,)</f>
        <v>0.3127</v>
      </c>
      <c r="AK11" s="46" t="n">
        <f aca="false">AD11*(1+$AJ11)</f>
        <v>659.173883406658</v>
      </c>
      <c r="AL11" s="46" t="n">
        <f aca="false">AE11*(1+$AJ11)</f>
        <v>744.04439945641</v>
      </c>
      <c r="AM11" s="46" t="n">
        <f aca="false">AF11*(1+$AJ11)</f>
        <v>701.609141431534</v>
      </c>
      <c r="AN11" s="46" t="n">
        <f aca="false">AG11*(1+$AJ11)</f>
        <v>701.609141431534</v>
      </c>
      <c r="AO11" s="46" t="n">
        <f aca="false">((AK11*12)+(AL11*4)+(AM11*2)+AN11)/12</f>
        <v>1082.59096858334</v>
      </c>
      <c r="AP11" s="46" t="n">
        <f aca="false">AO11*3</f>
        <v>3247.77290575003</v>
      </c>
      <c r="AQ11" s="46" t="n">
        <f aca="false">AO11+AP11</f>
        <v>4330.36387433338</v>
      </c>
      <c r="AR11" s="68"/>
      <c r="AS11" s="71" t="s">
        <v>88</v>
      </c>
      <c r="AT11" s="46" t="n">
        <f aca="false">AT10*12</f>
        <v>187434.918406756</v>
      </c>
      <c r="AU11" s="46"/>
      <c r="AV11" s="70"/>
      <c r="AW11" s="70"/>
    </row>
    <row r="12" s="2" customFormat="true" ht="15" hidden="false" customHeight="true" outlineLevel="0" collapsed="false">
      <c r="B12" s="62" t="s">
        <v>89</v>
      </c>
      <c r="C12" s="63" t="n">
        <f aca="false">VLOOKUP($B12,Unidades!$D$5:$N$29,6,FALSE())</f>
        <v>645.13</v>
      </c>
      <c r="D12" s="63" t="n">
        <f aca="false">VLOOKUP($B12,Unidades!$D$5:$N$29,7,FALSE())</f>
        <v>452.2</v>
      </c>
      <c r="E12" s="63" t="n">
        <f aca="false">VLOOKUP($B12,Unidades!$D$5:$N$29,8,FALSE())</f>
        <v>91.93</v>
      </c>
      <c r="F12" s="63" t="n">
        <f aca="false">VLOOKUP($B12,Unidades!$D$5:$N$29,9,FALSE())</f>
        <v>101</v>
      </c>
      <c r="G12" s="63" t="n">
        <f aca="false">D12+E12*$E$6+F12*$F$6</f>
        <v>494.4755</v>
      </c>
      <c r="H12" s="64" t="n">
        <f aca="false">IF(G12&lt;750,1.5,IF(G12&lt;2000,2,3))</f>
        <v>1.5</v>
      </c>
      <c r="I12" s="64" t="n">
        <f aca="false">$I$6*H12</f>
        <v>1.8</v>
      </c>
      <c r="J12" s="64" t="str">
        <f aca="false">VLOOKUP($B12,Unidades!$D$5:$N$29,10,FALSE())</f>
        <v>NÃO</v>
      </c>
      <c r="K12" s="64" t="str">
        <f aca="false">VLOOKUP($B12,Unidades!$D$5:$N$29,11,FALSE())</f>
        <v>NÃO</v>
      </c>
      <c r="L12" s="64" t="n">
        <f aca="false">$L$6*H12+(IF(J12="SIM",$J$6,0))</f>
        <v>1.65</v>
      </c>
      <c r="M12" s="64" t="n">
        <f aca="false">$M$6*H12+(IF(J12="SIM",$J$6,0))+(IF(K12="SIM",$K$6,0))</f>
        <v>1.65</v>
      </c>
      <c r="N12" s="64" t="n">
        <f aca="false">H12*12+I12*4+L12*2+M12</f>
        <v>30.15</v>
      </c>
      <c r="O12" s="65" t="n">
        <f aca="false">IF(K12="não", N12*(C$23+D$23),N12*(C$23+D$23)+(M12*+E$23))</f>
        <v>1681.767</v>
      </c>
      <c r="P12" s="66"/>
      <c r="Q12" s="22" t="str">
        <f aca="false">B12</f>
        <v>APS LOANDA</v>
      </c>
      <c r="R12" s="24" t="n">
        <f aca="false">H12*($C$23+$D$23)</f>
        <v>83.67</v>
      </c>
      <c r="S12" s="24" t="n">
        <f aca="false">I12*($C$23+$D$23)</f>
        <v>100.404</v>
      </c>
      <c r="T12" s="24" t="n">
        <f aca="false">L12*($C$23+$D$23)</f>
        <v>92.037</v>
      </c>
      <c r="U12" s="24" t="n">
        <f aca="false">IF(K12="não",M12*($C$23+$D$23),M12*(C$23+D$23+E$23))</f>
        <v>92.037</v>
      </c>
      <c r="V12" s="24" t="n">
        <f aca="false">VLOOKUP(Q12,'Desl. Base Maringá'!$C$5:$S$17,13,FALSE())*($C$23+$D$23+$E$23*(VLOOKUP(Q12,'Desl. Base Maringá'!$C$5:$S$17,17,FALSE())/12))</f>
        <v>70.0968125</v>
      </c>
      <c r="W12" s="24" t="n">
        <f aca="false">VLOOKUP(Q12,'Desl. Base Maringá'!$C$5:$Q$17,15,FALSE())*(2+(VLOOKUP(Q12,'Desl. Base Maringá'!$C$5:$S$17,17,FALSE())/12))</f>
        <v>0</v>
      </c>
      <c r="X12" s="24" t="n">
        <f aca="false">VLOOKUP(Q12,'Desl. Base Maringá'!$C$5:$Q$17,14,FALSE())</f>
        <v>0</v>
      </c>
      <c r="Y12" s="24" t="n">
        <f aca="false">VLOOKUP(Q12,'Desl. Base Maringá'!$C$5:$Q$17,13,FALSE())*'Desl. Base Maringá'!$E$22+'Desl. Base Maringá'!$E$23*N12/12</f>
        <v>80.2507916666667</v>
      </c>
      <c r="Z12" s="24" t="n">
        <f aca="false">(H12/$AC$5)*'Equipe Técnica'!$C$13</f>
        <v>239.596991886008</v>
      </c>
      <c r="AA12" s="24" t="n">
        <f aca="false">(I12/$AC$5)*'Equipe Técnica'!$C$13</f>
        <v>287.51639026321</v>
      </c>
      <c r="AB12" s="24" t="n">
        <f aca="false">(L12/$AC$5)*'Equipe Técnica'!$C$13</f>
        <v>263.556691074609</v>
      </c>
      <c r="AC12" s="24" t="n">
        <f aca="false">(M12/$AC$5)*'Equipe Técnica'!$C$13</f>
        <v>263.556691074609</v>
      </c>
      <c r="AD12" s="24" t="n">
        <f aca="false">R12+(($V12+$W12+$X12+$Y12)*12/19)+$Z12</f>
        <v>418.223373464956</v>
      </c>
      <c r="AE12" s="24" t="n">
        <f aca="false">S12+(($V12+$W12+$X12+$Y12)*12/19)+$AA12</f>
        <v>482.876771842157</v>
      </c>
      <c r="AF12" s="24" t="n">
        <f aca="false">T12+(($V12+$W12+$X12+$Y12)*12/19)+$AB12</f>
        <v>450.550072653557</v>
      </c>
      <c r="AG12" s="24" t="n">
        <f aca="false">U12+(($V12+$W12+$X12+$Y12)*12/19)+$AC12</f>
        <v>450.550072653557</v>
      </c>
      <c r="AI12" s="22" t="str">
        <f aca="false">B12</f>
        <v>APS LOANDA</v>
      </c>
      <c r="AJ12" s="67" t="n">
        <f aca="false">VLOOKUP(AI12,Unidades!D$5:H$29,5,)</f>
        <v>0.3278</v>
      </c>
      <c r="AK12" s="46" t="n">
        <f aca="false">AD12*(1+$AJ12)</f>
        <v>555.316995286768</v>
      </c>
      <c r="AL12" s="46" t="n">
        <f aca="false">AE12*(1+$AJ12)</f>
        <v>641.163777652017</v>
      </c>
      <c r="AM12" s="46" t="n">
        <f aca="false">AF12*(1+$AJ12)</f>
        <v>598.240386469392</v>
      </c>
      <c r="AN12" s="46" t="n">
        <f aca="false">AG12*(1+$AJ12)</f>
        <v>598.240386469392</v>
      </c>
      <c r="AO12" s="46" t="n">
        <f aca="false">((AK12*12)+(AL12*4)+(AM12*2)+AN12)/12</f>
        <v>918.598351121455</v>
      </c>
      <c r="AP12" s="46" t="n">
        <f aca="false">AO12*3</f>
        <v>2755.79505336437</v>
      </c>
      <c r="AQ12" s="46" t="n">
        <f aca="false">AO12+AP12</f>
        <v>3674.39340448582</v>
      </c>
      <c r="AR12" s="68"/>
      <c r="AS12" s="71" t="s">
        <v>73</v>
      </c>
      <c r="AT12" s="46" t="n">
        <f aca="false">AT10*3</f>
        <v>46858.729601689</v>
      </c>
      <c r="AU12" s="46"/>
      <c r="AV12" s="68"/>
      <c r="AW12" s="68"/>
    </row>
    <row r="13" s="2" customFormat="true" ht="15" hidden="false" customHeight="true" outlineLevel="0" collapsed="false">
      <c r="B13" s="62" t="s">
        <v>90</v>
      </c>
      <c r="C13" s="63" t="n">
        <f aca="false">VLOOKUP($B13,Unidades!$D$5:$N$29,6,FALSE())</f>
        <v>334.4</v>
      </c>
      <c r="D13" s="63" t="n">
        <f aca="false">VLOOKUP($B13,Unidades!$D$5:$N$29,7,FALSE())</f>
        <v>296</v>
      </c>
      <c r="E13" s="63" t="n">
        <f aca="false">VLOOKUP($B13,Unidades!$D$5:$N$29,8,FALSE())</f>
        <v>38.4</v>
      </c>
      <c r="F13" s="63" t="n">
        <f aca="false">VLOOKUP($B13,Unidades!$D$5:$N$29,9,FALSE())</f>
        <v>0</v>
      </c>
      <c r="G13" s="63" t="n">
        <f aca="false">D13+E13*$E$6+F13*$F$6</f>
        <v>309.44</v>
      </c>
      <c r="H13" s="64" t="n">
        <f aca="false">IF(G13&lt;750,1.5,IF(G13&lt;2000,2,3))</f>
        <v>1.5</v>
      </c>
      <c r="I13" s="64" t="n">
        <f aca="false">$I$6*H13</f>
        <v>1.8</v>
      </c>
      <c r="J13" s="64" t="str">
        <f aca="false">VLOOKUP($B13,Unidades!$D$5:$N$29,10,FALSE())</f>
        <v>NÃO</v>
      </c>
      <c r="K13" s="64" t="str">
        <f aca="false">VLOOKUP($B13,Unidades!$D$5:$N$29,11,FALSE())</f>
        <v>NÃO</v>
      </c>
      <c r="L13" s="64" t="n">
        <f aca="false">$L$6*H13+(IF(J13="SIM",$J$6,0))</f>
        <v>1.65</v>
      </c>
      <c r="M13" s="64" t="n">
        <f aca="false">$M$6*H13+(IF(J13="SIM",$J$6,0))+(IF(K13="SIM",$K$6,0))</f>
        <v>1.65</v>
      </c>
      <c r="N13" s="64" t="n">
        <f aca="false">H13*12+I13*4+L13*2+M13</f>
        <v>30.15</v>
      </c>
      <c r="O13" s="65" t="n">
        <f aca="false">IF(K13="não", N13*(C$23+D$23),N13*(C$23+D$23)+(M13*+E$23))</f>
        <v>1681.767</v>
      </c>
      <c r="P13" s="66"/>
      <c r="Q13" s="22" t="str">
        <f aca="false">B13</f>
        <v>APS MANDAGUARI</v>
      </c>
      <c r="R13" s="24" t="n">
        <f aca="false">H13*($C$23+$D$23)</f>
        <v>83.67</v>
      </c>
      <c r="S13" s="24" t="n">
        <f aca="false">I13*($C$23+$D$23)</f>
        <v>100.404</v>
      </c>
      <c r="T13" s="24" t="n">
        <f aca="false">L13*($C$23+$D$23)</f>
        <v>92.037</v>
      </c>
      <c r="U13" s="24" t="n">
        <f aca="false">IF(K13="não",M13*($C$23+$D$23),M13*(C$23+D$23+E$23))</f>
        <v>92.037</v>
      </c>
      <c r="V13" s="24" t="n">
        <f aca="false">VLOOKUP(Q13,'Desl. Base Maringá'!$C$5:$S$17,13,FALSE())*($C$23+$D$23+$E$23*(VLOOKUP(Q13,'Desl. Base Maringá'!$C$5:$S$17,17,FALSE())/12))</f>
        <v>41.835</v>
      </c>
      <c r="W13" s="24" t="n">
        <f aca="false">VLOOKUP(Q13,'Desl. Base Maringá'!$C$5:$Q$17,15,FALSE())*(2+(VLOOKUP(Q13,'Desl. Base Maringá'!$C$5:$S$17,17,FALSE())/12))</f>
        <v>0</v>
      </c>
      <c r="X13" s="24" t="n">
        <f aca="false">VLOOKUP(Q13,'Desl. Base Maringá'!$C$5:$Q$17,14,FALSE())</f>
        <v>0</v>
      </c>
      <c r="Y13" s="24" t="n">
        <f aca="false">VLOOKUP(Q13,'Desl. Base Maringá'!$C$5:$Q$17,13,FALSE())*'Desl. Base Maringá'!$E$22+'Desl. Base Maringá'!$E$23*N13/12</f>
        <v>56.979375</v>
      </c>
      <c r="Z13" s="24" t="n">
        <f aca="false">(H13/$AC$5)*'Equipe Técnica'!$C$13</f>
        <v>239.596991886008</v>
      </c>
      <c r="AA13" s="24" t="n">
        <f aca="false">(I13/$AC$5)*'Equipe Técnica'!$C$13</f>
        <v>287.51639026321</v>
      </c>
      <c r="AB13" s="24" t="n">
        <f aca="false">(L13/$AC$5)*'Equipe Técnica'!$C$13</f>
        <v>263.556691074609</v>
      </c>
      <c r="AC13" s="24" t="n">
        <f aca="false">(M13/$AC$5)*'Equipe Técnica'!$C$13</f>
        <v>263.556691074609</v>
      </c>
      <c r="AD13" s="24" t="n">
        <f aca="false">R13+(($V13+$W13+$X13+$Y13)*12/19)+$Z13</f>
        <v>385.676070833377</v>
      </c>
      <c r="AE13" s="24" t="n">
        <f aca="false">S13+(($V13+$W13+$X13+$Y13)*12/19)+$AA13</f>
        <v>450.329469210578</v>
      </c>
      <c r="AF13" s="24" t="n">
        <f aca="false">T13+(($V13+$W13+$X13+$Y13)*12/19)+$AB13</f>
        <v>418.002770021978</v>
      </c>
      <c r="AG13" s="24" t="n">
        <f aca="false">U13+(($V13+$W13+$X13+$Y13)*12/19)+$AC13</f>
        <v>418.002770021978</v>
      </c>
      <c r="AI13" s="22" t="str">
        <f aca="false">B13</f>
        <v>APS MANDAGUARI</v>
      </c>
      <c r="AJ13" s="67" t="n">
        <f aca="false">VLOOKUP(AI13,Unidades!D$5:H$29,5,)</f>
        <v>0.2979</v>
      </c>
      <c r="AK13" s="46" t="n">
        <f aca="false">AD13*(1+$AJ13)</f>
        <v>500.56897233464</v>
      </c>
      <c r="AL13" s="46" t="n">
        <f aca="false">AE13*(1+$AJ13)</f>
        <v>584.48261808841</v>
      </c>
      <c r="AM13" s="46" t="n">
        <f aca="false">AF13*(1+$AJ13)</f>
        <v>542.525795211525</v>
      </c>
      <c r="AN13" s="46" t="n">
        <f aca="false">AG13*(1+$AJ13)</f>
        <v>542.525795211525</v>
      </c>
      <c r="AO13" s="46" t="n">
        <f aca="false">((AK13*12)+(AL13*4)+(AM13*2)+AN13)/12</f>
        <v>831.027960500324</v>
      </c>
      <c r="AP13" s="46" t="n">
        <f aca="false">AO13*3</f>
        <v>2493.08388150097</v>
      </c>
      <c r="AQ13" s="46" t="n">
        <f aca="false">AO13+AP13</f>
        <v>3324.1118420013</v>
      </c>
      <c r="AR13" s="68"/>
      <c r="AS13" s="71" t="s">
        <v>91</v>
      </c>
      <c r="AT13" s="46" t="n">
        <f aca="false">AT12*12</f>
        <v>562304.755220268</v>
      </c>
      <c r="AU13" s="46"/>
      <c r="AV13" s="70"/>
      <c r="AW13" s="70"/>
    </row>
    <row r="14" s="2" customFormat="true" ht="15" hidden="false" customHeight="true" outlineLevel="0" collapsed="false">
      <c r="B14" s="62" t="s">
        <v>92</v>
      </c>
      <c r="C14" s="63" t="n">
        <f aca="false">VLOOKUP($B14,Unidades!$D$5:$N$29,6,FALSE())</f>
        <v>334.4</v>
      </c>
      <c r="D14" s="63" t="n">
        <f aca="false">VLOOKUP($B14,Unidades!$D$5:$N$29,7,FALSE())</f>
        <v>296</v>
      </c>
      <c r="E14" s="63" t="n">
        <f aca="false">VLOOKUP($B14,Unidades!$D$5:$N$29,8,FALSE())</f>
        <v>38.4</v>
      </c>
      <c r="F14" s="63" t="n">
        <f aca="false">VLOOKUP($B14,Unidades!$D$5:$N$29,9,FALSE())</f>
        <v>0</v>
      </c>
      <c r="G14" s="63" t="n">
        <f aca="false">D14+E14*$E$6+F14*$F$6</f>
        <v>309.44</v>
      </c>
      <c r="H14" s="64" t="n">
        <f aca="false">IF(G14&lt;750,1.5,IF(G14&lt;2000,2,3))</f>
        <v>1.5</v>
      </c>
      <c r="I14" s="64" t="n">
        <f aca="false">$I$6*H14</f>
        <v>1.8</v>
      </c>
      <c r="J14" s="64" t="str">
        <f aca="false">VLOOKUP($B14,Unidades!$D$5:$N$29,10,FALSE())</f>
        <v>NÃO</v>
      </c>
      <c r="K14" s="64" t="str">
        <f aca="false">VLOOKUP($B14,Unidades!$D$5:$N$29,11,FALSE())</f>
        <v>NÃO</v>
      </c>
      <c r="L14" s="64" t="n">
        <f aca="false">$L$6*H14+(IF(J14="SIM",$J$6,0))</f>
        <v>1.65</v>
      </c>
      <c r="M14" s="64" t="n">
        <f aca="false">$M$6*H14+(IF(J14="SIM",$J$6,0))+(IF(K14="SIM",$K$6,0))</f>
        <v>1.65</v>
      </c>
      <c r="N14" s="64" t="n">
        <f aca="false">H14*12+I14*4+L14*2+M14</f>
        <v>30.15</v>
      </c>
      <c r="O14" s="65" t="n">
        <f aca="false">IF(K14="não", N14*(C$23+D$23),N14*(C$23+D$23)+(M14*+E$23))</f>
        <v>1681.767</v>
      </c>
      <c r="P14" s="66"/>
      <c r="Q14" s="22" t="str">
        <f aca="false">B14</f>
        <v>APS NOVA ESPERANÇA</v>
      </c>
      <c r="R14" s="24" t="n">
        <f aca="false">H14*($C$23+$D$23)</f>
        <v>83.67</v>
      </c>
      <c r="S14" s="24" t="n">
        <f aca="false">I14*($C$23+$D$23)</f>
        <v>100.404</v>
      </c>
      <c r="T14" s="24" t="n">
        <f aca="false">L14*($C$23+$D$23)</f>
        <v>92.037</v>
      </c>
      <c r="U14" s="24" t="n">
        <f aca="false">IF(K14="não",M14*($C$23+$D$23),M14*(C$23+D$23+E$23))</f>
        <v>92.037</v>
      </c>
      <c r="V14" s="24" t="n">
        <f aca="false">VLOOKUP(Q14,'Desl. Base Maringá'!$C$5:$S$17,13,FALSE())*($C$23+$D$23+$E$23*(VLOOKUP(Q14,'Desl. Base Maringá'!$C$5:$S$17,17,FALSE())/12))</f>
        <v>77.6271666666667</v>
      </c>
      <c r="W14" s="24" t="n">
        <f aca="false">VLOOKUP(Q14,'Desl. Base Maringá'!$C$5:$Q$17,15,FALSE())*(2+(VLOOKUP(Q14,'Desl. Base Maringá'!$C$5:$S$17,17,FALSE())/12))</f>
        <v>0</v>
      </c>
      <c r="X14" s="24" t="n">
        <f aca="false">VLOOKUP(Q14,'Desl. Base Maringá'!$C$5:$Q$17,14,FALSE())</f>
        <v>0</v>
      </c>
      <c r="Y14" s="24" t="n">
        <f aca="false">VLOOKUP(Q14,'Desl. Base Maringá'!$C$5:$Q$17,13,FALSE())*'Desl. Base Maringá'!$E$22+'Desl. Base Maringá'!$E$23*N14/12</f>
        <v>90.7887916666667</v>
      </c>
      <c r="Z14" s="24" t="n">
        <f aca="false">(H14/$AC$5)*'Equipe Técnica'!$C$13</f>
        <v>239.596991886008</v>
      </c>
      <c r="AA14" s="24" t="n">
        <f aca="false">(I14/$AC$5)*'Equipe Técnica'!$C$13</f>
        <v>287.51639026321</v>
      </c>
      <c r="AB14" s="24" t="n">
        <f aca="false">(L14/$AC$5)*'Equipe Técnica'!$C$13</f>
        <v>263.556691074609</v>
      </c>
      <c r="AC14" s="24" t="n">
        <f aca="false">(M14/$AC$5)*'Equipe Técnica'!$C$13</f>
        <v>263.556691074609</v>
      </c>
      <c r="AD14" s="24" t="n">
        <f aca="false">R14+(($V14+$W14+$X14+$Y14)*12/19)+$Z14</f>
        <v>429.634965570219</v>
      </c>
      <c r="AE14" s="24" t="n">
        <f aca="false">S14+(($V14+$W14+$X14+$Y14)*12/19)+$AA14</f>
        <v>494.288363947421</v>
      </c>
      <c r="AF14" s="24" t="n">
        <f aca="false">T14+(($V14+$W14+$X14+$Y14)*12/19)+$AB14</f>
        <v>461.96166475882</v>
      </c>
      <c r="AG14" s="24" t="n">
        <f aca="false">U14+(($V14+$W14+$X14+$Y14)*12/19)+$AC14</f>
        <v>461.96166475882</v>
      </c>
      <c r="AI14" s="22" t="str">
        <f aca="false">B14</f>
        <v>APS NOVA ESPERANÇA</v>
      </c>
      <c r="AJ14" s="67" t="n">
        <f aca="false">VLOOKUP(AI14,Unidades!D$5:H$29,5,)</f>
        <v>0.2835</v>
      </c>
      <c r="AK14" s="46" t="n">
        <f aca="false">AD14*(1+$AJ14)</f>
        <v>551.436478309376</v>
      </c>
      <c r="AL14" s="46" t="n">
        <f aca="false">AE14*(1+$AJ14)</f>
        <v>634.419115126514</v>
      </c>
      <c r="AM14" s="46" t="n">
        <f aca="false">AF14*(1+$AJ14)</f>
        <v>592.927796717945</v>
      </c>
      <c r="AN14" s="46" t="n">
        <f aca="false">AG14*(1+$AJ14)</f>
        <v>592.927796717945</v>
      </c>
      <c r="AO14" s="46" t="n">
        <f aca="false">((AK14*12)+(AL14*4)+(AM14*2)+AN14)/12</f>
        <v>911.141465864367</v>
      </c>
      <c r="AP14" s="46" t="n">
        <f aca="false">AO14*3</f>
        <v>2733.4243975931</v>
      </c>
      <c r="AQ14" s="46" t="n">
        <f aca="false">AO14+AP14</f>
        <v>3644.56586345747</v>
      </c>
      <c r="AR14" s="68"/>
      <c r="AS14" s="71" t="s">
        <v>93</v>
      </c>
      <c r="AT14" s="46" t="n">
        <f aca="false">AT10+AT12</f>
        <v>62478.3061355853</v>
      </c>
      <c r="AU14" s="46"/>
      <c r="AV14" s="70"/>
      <c r="AW14" s="70"/>
    </row>
    <row r="15" s="2" customFormat="true" ht="15" hidden="false" customHeight="true" outlineLevel="0" collapsed="false">
      <c r="B15" s="62" t="s">
        <v>94</v>
      </c>
      <c r="C15" s="63" t="n">
        <f aca="false">VLOOKUP($B15,Unidades!$D$5:$N$29,6,FALSE())</f>
        <v>334.4</v>
      </c>
      <c r="D15" s="63" t="n">
        <f aca="false">VLOOKUP($B15,Unidades!$D$5:$N$29,7,FALSE())</f>
        <v>296</v>
      </c>
      <c r="E15" s="63" t="n">
        <f aca="false">VLOOKUP($B15,Unidades!$D$5:$N$29,8,FALSE())</f>
        <v>38.4</v>
      </c>
      <c r="F15" s="63" t="n">
        <f aca="false">VLOOKUP($B15,Unidades!$D$5:$N$29,9,FALSE())</f>
        <v>0</v>
      </c>
      <c r="G15" s="63" t="n">
        <f aca="false">D15+E15*$E$6+F15*$F$6</f>
        <v>309.44</v>
      </c>
      <c r="H15" s="64" t="n">
        <f aca="false">IF(G15&lt;750,1.5,IF(G15&lt;2000,2,3))</f>
        <v>1.5</v>
      </c>
      <c r="I15" s="64" t="n">
        <f aca="false">$I$6*H15</f>
        <v>1.8</v>
      </c>
      <c r="J15" s="64" t="str">
        <f aca="false">VLOOKUP($B15,Unidades!$D$5:$N$29,10,FALSE())</f>
        <v>NÃO</v>
      </c>
      <c r="K15" s="64" t="str">
        <f aca="false">VLOOKUP($B15,Unidades!$D$5:$N$29,11,FALSE())</f>
        <v>NÃO</v>
      </c>
      <c r="L15" s="64" t="n">
        <f aca="false">$L$6*H15+(IF(J15="SIM",$J$6,0))</f>
        <v>1.65</v>
      </c>
      <c r="M15" s="64" t="n">
        <f aca="false">$M$6*H15+(IF(J15="SIM",$J$6,0))+(IF(K15="SIM",$K$6,0))</f>
        <v>1.65</v>
      </c>
      <c r="N15" s="64" t="n">
        <f aca="false">H15*12+I15*4+L15*2+M15</f>
        <v>30.15</v>
      </c>
      <c r="O15" s="65" t="n">
        <f aca="false">IF(K15="não", N15*(C$23+D$23),N15*(C$23+D$23)+(M15*+E$23))</f>
        <v>1681.767</v>
      </c>
      <c r="P15" s="66"/>
      <c r="Q15" s="22" t="str">
        <f aca="false">B15</f>
        <v>APS PAIÇANDU</v>
      </c>
      <c r="R15" s="24" t="n">
        <f aca="false">H15*($C$23+$D$23)</f>
        <v>83.67</v>
      </c>
      <c r="S15" s="24" t="n">
        <f aca="false">I15*($C$23+$D$23)</f>
        <v>100.404</v>
      </c>
      <c r="T15" s="24" t="n">
        <f aca="false">L15*($C$23+$D$23)</f>
        <v>92.037</v>
      </c>
      <c r="U15" s="24" t="n">
        <f aca="false">IF(K15="não",M15*($C$23+$D$23),M15*(C$23+D$23+E$23))</f>
        <v>92.037</v>
      </c>
      <c r="V15" s="24" t="n">
        <f aca="false">VLOOKUP(Q15,'Desl. Base Maringá'!$C$5:$S$17,13,FALSE())*($C$23+$D$23+$E$23*(VLOOKUP(Q15,'Desl. Base Maringá'!$C$5:$S$17,17,FALSE())/12))</f>
        <v>71.1195</v>
      </c>
      <c r="W15" s="24" t="n">
        <f aca="false">VLOOKUP(Q15,'Desl. Base Maringá'!$C$5:$Q$17,15,FALSE())*(2+(VLOOKUP(Q15,'Desl. Base Maringá'!$C$5:$S$17,17,FALSE())/12))</f>
        <v>0</v>
      </c>
      <c r="X15" s="24" t="n">
        <f aca="false">VLOOKUP(Q15,'Desl. Base Maringá'!$C$5:$Q$17,14,FALSE())</f>
        <v>0</v>
      </c>
      <c r="Y15" s="24" t="n">
        <f aca="false">VLOOKUP(Q15,'Desl. Base Maringá'!$C$5:$Q$17,13,FALSE())*'Desl. Base Maringá'!$E$22+'Desl. Base Maringá'!$E$23*N15/12</f>
        <v>84.641625</v>
      </c>
      <c r="Z15" s="24" t="n">
        <f aca="false">(H15/$AC$5)*'Equipe Técnica'!$C$13</f>
        <v>239.596991886008</v>
      </c>
      <c r="AA15" s="24" t="n">
        <f aca="false">(I15/$AC$5)*'Equipe Técnica'!$C$13</f>
        <v>287.51639026321</v>
      </c>
      <c r="AB15" s="24" t="n">
        <f aca="false">(L15/$AC$5)*'Equipe Técnica'!$C$13</f>
        <v>263.556691074609</v>
      </c>
      <c r="AC15" s="24" t="n">
        <f aca="false">(M15/$AC$5)*'Equipe Técnica'!$C$13</f>
        <v>263.556691074609</v>
      </c>
      <c r="AD15" s="24" t="n">
        <f aca="false">R15+(($V15+$W15+$X15+$Y15)*12/19)+$Z15</f>
        <v>421.642439254429</v>
      </c>
      <c r="AE15" s="24" t="n">
        <f aca="false">S15+(($V15+$W15+$X15+$Y15)*12/19)+$AA15</f>
        <v>486.295837631631</v>
      </c>
      <c r="AF15" s="24" t="n">
        <f aca="false">T15+(($V15+$W15+$X15+$Y15)*12/19)+$AB15</f>
        <v>453.96913844303</v>
      </c>
      <c r="AG15" s="24" t="n">
        <f aca="false">U15+(($V15+$W15+$X15+$Y15)*12/19)+$AC15</f>
        <v>453.96913844303</v>
      </c>
      <c r="AI15" s="22" t="str">
        <f aca="false">B15</f>
        <v>APS PAIÇANDU</v>
      </c>
      <c r="AJ15" s="67" t="n">
        <f aca="false">VLOOKUP(AI15,Unidades!D$5:H$29,5,)</f>
        <v>0.2979</v>
      </c>
      <c r="AK15" s="46" t="n">
        <f aca="false">AD15*(1+$AJ15)</f>
        <v>547.249721908324</v>
      </c>
      <c r="AL15" s="46" t="n">
        <f aca="false">AE15*(1+$AJ15)</f>
        <v>631.163367662094</v>
      </c>
      <c r="AM15" s="46" t="n">
        <f aca="false">AF15*(1+$AJ15)</f>
        <v>589.206544785209</v>
      </c>
      <c r="AN15" s="46" t="n">
        <f aca="false">AG15*(1+$AJ15)</f>
        <v>589.206544785209</v>
      </c>
      <c r="AO15" s="46" t="n">
        <f aca="false">((AK15*12)+(AL15*4)+(AM15*2)+AN15)/12</f>
        <v>904.939147325324</v>
      </c>
      <c r="AP15" s="46" t="n">
        <f aca="false">AO15*3</f>
        <v>2714.81744197597</v>
      </c>
      <c r="AQ15" s="46" t="n">
        <f aca="false">AO15+AP15</f>
        <v>3619.7565893013</v>
      </c>
      <c r="AR15" s="68"/>
      <c r="AS15" s="71" t="s">
        <v>95</v>
      </c>
      <c r="AT15" s="46" t="n">
        <f aca="false">AT11+AT13</f>
        <v>749739.673627024</v>
      </c>
      <c r="AU15" s="46"/>
      <c r="AV15" s="68"/>
      <c r="AW15" s="68"/>
    </row>
    <row r="16" s="2" customFormat="true" ht="15" hidden="false" customHeight="true" outlineLevel="0" collapsed="false">
      <c r="B16" s="62" t="s">
        <v>96</v>
      </c>
      <c r="C16" s="63" t="n">
        <f aca="false">VLOOKUP($B16,Unidades!$D$5:$N$29,6,FALSE())</f>
        <v>2638.17</v>
      </c>
      <c r="D16" s="63" t="n">
        <f aca="false">VLOOKUP($B16,Unidades!$D$5:$N$29,7,FALSE())</f>
        <v>1217.05</v>
      </c>
      <c r="E16" s="63" t="n">
        <f aca="false">VLOOKUP($B16,Unidades!$D$5:$N$29,8,FALSE())</f>
        <v>346.5</v>
      </c>
      <c r="F16" s="63" t="n">
        <f aca="false">VLOOKUP($B16,Unidades!$D$5:$N$29,9,FALSE())</f>
        <v>1074.62</v>
      </c>
      <c r="G16" s="63" t="n">
        <f aca="false">D16+E16*$E$6+F16*$F$6</f>
        <v>1445.787</v>
      </c>
      <c r="H16" s="64" t="n">
        <f aca="false">IF(G16&lt;750,1.5,IF(G16&lt;2000,2,3))</f>
        <v>2</v>
      </c>
      <c r="I16" s="64" t="n">
        <f aca="false">$I$6*H16</f>
        <v>2.4</v>
      </c>
      <c r="J16" s="64" t="str">
        <f aca="false">VLOOKUP($B16,Unidades!$D$5:$N$29,10,FALSE())</f>
        <v>SIM</v>
      </c>
      <c r="K16" s="64" t="str">
        <f aca="false">VLOOKUP($B16,Unidades!$D$5:$N$29,11,FALSE())</f>
        <v>SIM</v>
      </c>
      <c r="L16" s="64" t="n">
        <f aca="false">$L$6*H16+(IF(J16="SIM",$J$6,0))</f>
        <v>4.2</v>
      </c>
      <c r="M16" s="64" t="n">
        <f aca="false">$M$6*H16+(IF(J16="SIM",$J$6,0))+(IF(K16="SIM",$K$6,0))</f>
        <v>8.2</v>
      </c>
      <c r="N16" s="64" t="n">
        <f aca="false">H16*12+I16*4+L16*2+M16</f>
        <v>50.2</v>
      </c>
      <c r="O16" s="65" t="n">
        <f aca="false">IF(K16="não", N16*(C$23+D$23),N16*(C$23+D$23)+(M16*+E$23))</f>
        <v>3099.538</v>
      </c>
      <c r="P16" s="66"/>
      <c r="Q16" s="22" t="str">
        <f aca="false">B16</f>
        <v>APS PARANAVAÍ</v>
      </c>
      <c r="R16" s="24" t="n">
        <f aca="false">H16*($C$23+$D$23)</f>
        <v>111.56</v>
      </c>
      <c r="S16" s="24" t="n">
        <f aca="false">I16*($C$23+$D$23)</f>
        <v>133.872</v>
      </c>
      <c r="T16" s="24" t="n">
        <f aca="false">L16*($C$23+$D$23)</f>
        <v>234.276</v>
      </c>
      <c r="U16" s="24" t="n">
        <f aca="false">IF(K16="não",M16*($C$23+$D$23),M16*(C$23+D$23+E$23))</f>
        <v>756.778</v>
      </c>
      <c r="V16" s="24" t="n">
        <f aca="false">VLOOKUP(Q16,'Desl. Base Maringá'!$C$5:$S$17,13,FALSE())*($C$23+$D$23+$E$23*(VLOOKUP(Q16,'Desl. Base Maringá'!$C$5:$S$17,17,FALSE())/12))</f>
        <v>70.0968125</v>
      </c>
      <c r="W16" s="24" t="n">
        <f aca="false">VLOOKUP(Q16,'Desl. Base Maringá'!$C$5:$Q$17,15,FALSE())*(2+(VLOOKUP(Q16,'Desl. Base Maringá'!$C$5:$S$17,17,FALSE())/12))</f>
        <v>0</v>
      </c>
      <c r="X16" s="24" t="n">
        <f aca="false">VLOOKUP(Q16,'Desl. Base Maringá'!$C$5:$Q$17,14,FALSE())</f>
        <v>0</v>
      </c>
      <c r="Y16" s="24" t="n">
        <f aca="false">VLOOKUP(Q16,'Desl. Base Maringá'!$C$5:$Q$17,13,FALSE())*'Desl. Base Maringá'!$E$22+'Desl. Base Maringá'!$E$23*N16/12</f>
        <v>91.8630833333334</v>
      </c>
      <c r="Z16" s="24" t="n">
        <f aca="false">(H16/$AC$5)*'Equipe Técnica'!$C$13</f>
        <v>319.462655848011</v>
      </c>
      <c r="AA16" s="24" t="n">
        <f aca="false">(I16/$AC$5)*'Equipe Técnica'!$C$13</f>
        <v>383.355187017613</v>
      </c>
      <c r="AB16" s="24" t="n">
        <f aca="false">(L16/$AC$5)*'Equipe Técnica'!$C$13</f>
        <v>670.871577280823</v>
      </c>
      <c r="AC16" s="24" t="n">
        <f aca="false">(M16/$AC$5)*'Equipe Técnica'!$C$13</f>
        <v>1309.79688897685</v>
      </c>
      <c r="AD16" s="24" t="n">
        <f aca="false">R16+(($V16+$W16+$X16+$Y16)*12/19)+$Z16</f>
        <v>533.313116374327</v>
      </c>
      <c r="AE16" s="24" t="n">
        <f aca="false">S16+(($V16+$W16+$X16+$Y16)*12/19)+$AA16</f>
        <v>619.517647543929</v>
      </c>
      <c r="AF16" s="24" t="n">
        <f aca="false">T16+(($V16+$W16+$X16+$Y16)*12/19)+$AB16</f>
        <v>1007.43803780714</v>
      </c>
      <c r="AG16" s="24" t="n">
        <f aca="false">U16+(($V16+$W16+$X16+$Y16)*12/19)+$AC16</f>
        <v>2168.86534950316</v>
      </c>
      <c r="AI16" s="22" t="str">
        <f aca="false">B16</f>
        <v>APS PARANAVAÍ</v>
      </c>
      <c r="AJ16" s="67" t="n">
        <f aca="false">VLOOKUP(AI16,Unidades!D$5:H$29,5,)</f>
        <v>0.3127</v>
      </c>
      <c r="AK16" s="46" t="n">
        <f aca="false">AD16*(1+$AJ16)</f>
        <v>700.080127864579</v>
      </c>
      <c r="AL16" s="46" t="n">
        <f aca="false">AE16*(1+$AJ16)</f>
        <v>813.240815930916</v>
      </c>
      <c r="AM16" s="46" t="n">
        <f aca="false">AF16*(1+$AJ16)</f>
        <v>1322.46391222943</v>
      </c>
      <c r="AN16" s="46" t="n">
        <f aca="false">AG16*(1+$AJ16)</f>
        <v>2847.0695442928</v>
      </c>
      <c r="AO16" s="46" t="n">
        <f aca="false">((AK16*12)+(AL16*4)+(AM16*2)+AN16)/12</f>
        <v>1428.82684723752</v>
      </c>
      <c r="AP16" s="46" t="n">
        <f aca="false">AO16*3</f>
        <v>4286.48054171257</v>
      </c>
      <c r="AQ16" s="46" t="n">
        <f aca="false">AO16+AP16</f>
        <v>5715.30738895009</v>
      </c>
      <c r="AR16" s="68"/>
      <c r="AS16" s="68"/>
      <c r="AT16" s="68"/>
      <c r="AU16" s="68"/>
      <c r="AV16" s="68"/>
      <c r="AW16" s="68"/>
    </row>
    <row r="17" s="2" customFormat="true" ht="15" hidden="false" customHeight="true" outlineLevel="0" collapsed="false">
      <c r="B17" s="62" t="s">
        <v>97</v>
      </c>
      <c r="C17" s="63" t="n">
        <f aca="false">VLOOKUP($B17,Unidades!$D$5:$N$29,6,FALSE())</f>
        <v>3345.5</v>
      </c>
      <c r="D17" s="63" t="n">
        <f aca="false">VLOOKUP($B17,Unidades!$D$5:$N$29,7,FALSE())</f>
        <v>2007</v>
      </c>
      <c r="E17" s="63" t="n">
        <f aca="false">VLOOKUP($B17,Unidades!$D$5:$N$29,8,FALSE())</f>
        <v>1003.5</v>
      </c>
      <c r="F17" s="63" t="n">
        <f aca="false">VLOOKUP($B17,Unidades!$D$5:$N$29,9,FALSE())</f>
        <v>335</v>
      </c>
      <c r="G17" s="63" t="n">
        <f aca="false">D17+E17*$E$6+F17*$F$6</f>
        <v>2391.725</v>
      </c>
      <c r="H17" s="64" t="n">
        <f aca="false">IF(G17&lt;750,1.5,IF(G17&lt;2000,2,3))</f>
        <v>3</v>
      </c>
      <c r="I17" s="64" t="n">
        <f aca="false">$I$6*H17</f>
        <v>3.6</v>
      </c>
      <c r="J17" s="64" t="str">
        <f aca="false">VLOOKUP($B17,Unidades!$D$5:$N$29,10,FALSE())</f>
        <v>SIM</v>
      </c>
      <c r="K17" s="64" t="str">
        <f aca="false">VLOOKUP($B17,Unidades!$D$5:$N$29,11,FALSE())</f>
        <v>SIM</v>
      </c>
      <c r="L17" s="64" t="n">
        <f aca="false">$L$6*H17+(IF(J17="SIM",$J$6,0))</f>
        <v>5.3</v>
      </c>
      <c r="M17" s="64" t="n">
        <f aca="false">$M$6*H17+(IF(J17="SIM",$J$6,0))+(IF(K17="SIM",$K$6,0))</f>
        <v>9.3</v>
      </c>
      <c r="N17" s="64" t="n">
        <f aca="false">H17*12+I17*4+L17*2+M17</f>
        <v>70.3</v>
      </c>
      <c r="O17" s="65" t="n">
        <f aca="false">IF(K17="não", N17*(C$23+D$23),N17*(C$23+D$23)+(M17*+E$23))</f>
        <v>4260.877</v>
      </c>
      <c r="P17" s="66"/>
      <c r="Q17" s="22" t="str">
        <f aca="false">B17</f>
        <v>APS UMUARAMA</v>
      </c>
      <c r="R17" s="24" t="n">
        <f aca="false">H17*($C$23+$D$23)</f>
        <v>167.34</v>
      </c>
      <c r="S17" s="24" t="n">
        <f aca="false">I17*($C$23+$D$23)</f>
        <v>200.808</v>
      </c>
      <c r="T17" s="24" t="n">
        <f aca="false">L17*($C$23+$D$23)</f>
        <v>295.634</v>
      </c>
      <c r="U17" s="24" t="n">
        <f aca="false">IF(K17="não",M17*($C$23+$D$23),M17*(C$23+D$23+E$23))</f>
        <v>858.297</v>
      </c>
      <c r="V17" s="24" t="n">
        <f aca="false">VLOOKUP(Q17,'Desl. Base Maringá'!$C$5:$S$17,13,FALSE())*($C$23+$D$23+$E$23*(VLOOKUP(Q17,'Desl. Base Maringá'!$C$5:$S$17,17,FALSE())/12))</f>
        <v>140.193625</v>
      </c>
      <c r="W17" s="24" t="n">
        <f aca="false">VLOOKUP(Q17,'Desl. Base Maringá'!$C$5:$Q$17,15,FALSE())*(2+(VLOOKUP(Q17,'Desl. Base Maringá'!$C$5:$S$17,17,FALSE())/12))</f>
        <v>0</v>
      </c>
      <c r="X17" s="24" t="n">
        <f aca="false">VLOOKUP(Q17,'Desl. Base Maringá'!$C$5:$Q$17,14,FALSE())</f>
        <v>0</v>
      </c>
      <c r="Y17" s="24" t="n">
        <f aca="false">VLOOKUP(Q17,'Desl. Base Maringá'!$C$5:$Q$17,13,FALSE())*'Desl. Base Maringá'!$E$22+'Desl. Base Maringá'!$E$23*N17/12</f>
        <v>166.29325</v>
      </c>
      <c r="Z17" s="24" t="n">
        <f aca="false">(H17/$AC$5)*'Equipe Técnica'!$C$13</f>
        <v>479.193983772017</v>
      </c>
      <c r="AA17" s="24" t="n">
        <f aca="false">(I17/$AC$5)*'Equipe Técnica'!$C$13</f>
        <v>575.03278052642</v>
      </c>
      <c r="AB17" s="24" t="n">
        <f aca="false">(L17/$AC$5)*'Equipe Técnica'!$C$13</f>
        <v>846.576037997229</v>
      </c>
      <c r="AC17" s="24" t="n">
        <f aca="false">(M17/$AC$5)*'Equipe Técnica'!$C$13</f>
        <v>1485.50134969325</v>
      </c>
      <c r="AD17" s="24" t="n">
        <f aca="false">R17+(($V17+$W17+$X17+$Y17)*12/19)+$Z17</f>
        <v>840.104641666753</v>
      </c>
      <c r="AE17" s="24" t="n">
        <f aca="false">S17+(($V17+$W17+$X17+$Y17)*12/19)+$AA17</f>
        <v>969.411438421157</v>
      </c>
      <c r="AF17" s="24" t="n">
        <f aca="false">T17+(($V17+$W17+$X17+$Y17)*12/19)+$AB17</f>
        <v>1335.78069589197</v>
      </c>
      <c r="AG17" s="24" t="n">
        <f aca="false">U17+(($V17+$W17+$X17+$Y17)*12/19)+$AC17</f>
        <v>2537.36900758799</v>
      </c>
      <c r="AI17" s="22" t="str">
        <f aca="false">B17</f>
        <v>APS UMUARAMA</v>
      </c>
      <c r="AJ17" s="67" t="n">
        <f aca="false">VLOOKUP(AI17,Unidades!D$5:H$29,5,)</f>
        <v>0.2835</v>
      </c>
      <c r="AK17" s="46" t="n">
        <f aca="false">AD17*(1+$AJ17)</f>
        <v>1078.27430757928</v>
      </c>
      <c r="AL17" s="46" t="n">
        <f aca="false">AE17*(1+$AJ17)</f>
        <v>1244.23958121355</v>
      </c>
      <c r="AM17" s="46" t="n">
        <f aca="false">AF17*(1+$AJ17)</f>
        <v>1714.47452317734</v>
      </c>
      <c r="AN17" s="46" t="n">
        <f aca="false">AG17*(1+$AJ17)</f>
        <v>3256.71312123918</v>
      </c>
      <c r="AO17" s="46" t="n">
        <f aca="false">((AK17*12)+(AL17*4)+(AM17*2)+AN17)/12</f>
        <v>2050.15934861662</v>
      </c>
      <c r="AP17" s="46" t="n">
        <f aca="false">AO17*3</f>
        <v>6150.47804584985</v>
      </c>
      <c r="AQ17" s="46" t="n">
        <f aca="false">AO17+AP17</f>
        <v>8200.63739446647</v>
      </c>
      <c r="AR17" s="68"/>
      <c r="AS17" s="68"/>
      <c r="AT17" s="68"/>
      <c r="AU17" s="68"/>
      <c r="AV17" s="68"/>
      <c r="AW17" s="68"/>
    </row>
    <row r="18" s="2" customFormat="true" ht="15" hidden="false" customHeight="true" outlineLevel="0" collapsed="false">
      <c r="B18" s="62" t="s">
        <v>98</v>
      </c>
      <c r="C18" s="63" t="n">
        <f aca="false">VLOOKUP($B18,Unidades!$D$5:$N$29,6,FALSE())</f>
        <v>1122</v>
      </c>
      <c r="D18" s="63" t="n">
        <f aca="false">VLOOKUP($B18,Unidades!$D$5:$N$29,7,FALSE())</f>
        <v>882</v>
      </c>
      <c r="E18" s="63" t="n">
        <f aca="false">VLOOKUP($B18,Unidades!$D$5:$N$29,8,FALSE())</f>
        <v>240</v>
      </c>
      <c r="F18" s="63" t="n">
        <f aca="false">VLOOKUP($B18,Unidades!$D$5:$N$29,9,FALSE())</f>
        <v>0</v>
      </c>
      <c r="G18" s="63" t="n">
        <f aca="false">D18+E18*$E$6+F18*$F$6</f>
        <v>966</v>
      </c>
      <c r="H18" s="64" t="n">
        <f aca="false">IF(G18&lt;750,1.5,IF(G18&lt;2000,2,3))</f>
        <v>2</v>
      </c>
      <c r="I18" s="64" t="n">
        <f aca="false">$I$6*H18</f>
        <v>2.4</v>
      </c>
      <c r="J18" s="64" t="str">
        <f aca="false">VLOOKUP($B18,Unidades!$D$5:$N$29,10,FALSE())</f>
        <v>NÃO</v>
      </c>
      <c r="K18" s="64" t="str">
        <f aca="false">VLOOKUP($B18,Unidades!$D$5:$N$29,11,FALSE())</f>
        <v>NÃO</v>
      </c>
      <c r="L18" s="64" t="n">
        <f aca="false">$L$6*H18+(IF(J18="SIM",$J$6,0))</f>
        <v>2.2</v>
      </c>
      <c r="M18" s="64" t="n">
        <f aca="false">$M$6*H18+(IF(J18="SIM",$J$6,0))+(IF(K18="SIM",$K$6,0))</f>
        <v>2.2</v>
      </c>
      <c r="N18" s="64" t="n">
        <f aca="false">H18*12+I18*4+L18*2+M18</f>
        <v>40.2</v>
      </c>
      <c r="O18" s="65" t="n">
        <f aca="false">IF(K18="não", N18*(C$23+D$23),N18*(C$23+D$23)+(M18*+E$23))</f>
        <v>2242.356</v>
      </c>
      <c r="P18" s="66"/>
      <c r="Q18" s="22" t="str">
        <f aca="false">B18</f>
        <v>CEDOCPREV MARINGÁ</v>
      </c>
      <c r="R18" s="24" t="n">
        <f aca="false">H18*($C$23+$D$23)</f>
        <v>111.56</v>
      </c>
      <c r="S18" s="24" t="n">
        <f aca="false">I18*($C$23+$D$23)</f>
        <v>133.872</v>
      </c>
      <c r="T18" s="24" t="n">
        <f aca="false">L18*($C$23+$D$23)</f>
        <v>122.716</v>
      </c>
      <c r="U18" s="24" t="n">
        <f aca="false">IF(K18="não",M18*($C$23+$D$23),M18*(C$23+D$23+E$23))</f>
        <v>122.716</v>
      </c>
      <c r="V18" s="24" t="n">
        <f aca="false">VLOOKUP(Q18,'Desl. Base Maringá'!$C$5:$S$17,13,FALSE())*($C$23+$D$23+$E$23*(VLOOKUP(Q18,'Desl. Base Maringá'!$C$5:$S$17,17,FALSE())/12))</f>
        <v>41.835</v>
      </c>
      <c r="W18" s="24" t="n">
        <f aca="false">VLOOKUP(Q18,'Desl. Base Maringá'!$C$5:$Q$17,15,FALSE())*(2+(VLOOKUP(Q18,'Desl. Base Maringá'!$C$5:$S$17,17,FALSE())/12))</f>
        <v>0</v>
      </c>
      <c r="X18" s="24" t="n">
        <f aca="false">VLOOKUP(Q18,'Desl. Base Maringá'!$C$5:$Q$17,14,FALSE())</f>
        <v>0</v>
      </c>
      <c r="Y18" s="24" t="n">
        <f aca="false">VLOOKUP(Q18,'Desl. Base Maringá'!$C$5:$Q$17,13,FALSE())*'Desl. Base Maringá'!$E$22+'Desl. Base Maringá'!$E$23*N18/12</f>
        <v>62.8</v>
      </c>
      <c r="Z18" s="24" t="n">
        <f aca="false">(H18/$AC$5)*'Equipe Técnica'!$C$13</f>
        <v>319.462655848011</v>
      </c>
      <c r="AA18" s="24" t="n">
        <f aca="false">(I18/$AC$5)*'Equipe Técnica'!$C$13</f>
        <v>383.355187017613</v>
      </c>
      <c r="AB18" s="24" t="n">
        <f aca="false">(L18/$AC$5)*'Equipe Técnica'!$C$13</f>
        <v>351.408921432812</v>
      </c>
      <c r="AC18" s="24" t="n">
        <f aca="false">(M18/$AC$5)*'Equipe Técnica'!$C$13</f>
        <v>351.408921432812</v>
      </c>
      <c r="AD18" s="24" t="n">
        <f aca="false">R18+(($V18+$W18+$X18+$Y18)*12/19)+$Z18</f>
        <v>497.107919005906</v>
      </c>
      <c r="AE18" s="24" t="n">
        <f aca="false">S18+(($V18+$W18+$X18+$Y18)*12/19)+$AA18</f>
        <v>583.312450175508</v>
      </c>
      <c r="AF18" s="24" t="n">
        <f aca="false">T18+(($V18+$W18+$X18+$Y18)*12/19)+$AB18</f>
        <v>540.210184590707</v>
      </c>
      <c r="AG18" s="24" t="n">
        <f aca="false">U18+(($V18+$W18+$X18+$Y18)*12/19)+$AC18</f>
        <v>540.210184590707</v>
      </c>
      <c r="AI18" s="22" t="str">
        <f aca="false">B18</f>
        <v>CEDOCPREV MARINGÁ</v>
      </c>
      <c r="AJ18" s="67" t="n">
        <f aca="false">VLOOKUP(AI18,Unidades!D$5:H$29,5,)</f>
        <v>0.2979</v>
      </c>
      <c r="AK18" s="46" t="n">
        <f aca="false">AD18*(1+$AJ18)</f>
        <v>645.196368077765</v>
      </c>
      <c r="AL18" s="46" t="n">
        <f aca="false">AE18*(1+$AJ18)</f>
        <v>757.081229082792</v>
      </c>
      <c r="AM18" s="46" t="n">
        <f aca="false">AF18*(1+$AJ18)</f>
        <v>701.138798580279</v>
      </c>
      <c r="AN18" s="46" t="n">
        <f aca="false">AG18*(1+$AJ18)</f>
        <v>701.138798580279</v>
      </c>
      <c r="AO18" s="46" t="n">
        <f aca="false">((AK18*12)+(AL18*4)+(AM18*2)+AN18)/12</f>
        <v>1072.8414774171</v>
      </c>
      <c r="AP18" s="46" t="n">
        <f aca="false">AO18*3</f>
        <v>3218.5244322513</v>
      </c>
      <c r="AQ18" s="46" t="n">
        <f aca="false">AO18+AP18</f>
        <v>4291.3659096684</v>
      </c>
      <c r="AR18" s="68"/>
      <c r="AS18" s="68"/>
      <c r="AT18" s="68"/>
      <c r="AU18" s="68"/>
      <c r="AV18" s="68"/>
      <c r="AW18" s="68"/>
    </row>
    <row r="19" s="2" customFormat="true" ht="15" hidden="false" customHeight="true" outlineLevel="0" collapsed="false">
      <c r="B19" s="62" t="s">
        <v>99</v>
      </c>
      <c r="C19" s="63" t="n">
        <f aca="false">VLOOKUP($B19,Unidades!$D$5:$N$29,6,FALSE())</f>
        <v>3140.36</v>
      </c>
      <c r="D19" s="63" t="n">
        <f aca="false">VLOOKUP($B19,Unidades!$D$5:$N$29,7,FALSE())</f>
        <v>2714.7</v>
      </c>
      <c r="E19" s="63" t="n">
        <f aca="false">VLOOKUP($B19,Unidades!$D$5:$N$29,8,FALSE())</f>
        <v>425.66</v>
      </c>
      <c r="F19" s="63" t="n">
        <f aca="false">VLOOKUP($B19,Unidades!$D$5:$N$29,9,FALSE())</f>
        <v>0</v>
      </c>
      <c r="G19" s="63" t="n">
        <f aca="false">D19+E19*$E$6+F19*$F$6</f>
        <v>2863.681</v>
      </c>
      <c r="H19" s="64" t="n">
        <f aca="false">IF(G19&lt;750,1.5,IF(G19&lt;2000,2,3))</f>
        <v>3</v>
      </c>
      <c r="I19" s="64" t="n">
        <f aca="false">$I$6*H19</f>
        <v>3.6</v>
      </c>
      <c r="J19" s="64" t="str">
        <f aca="false">VLOOKUP($B19,Unidades!$D$5:$N$29,10,FALSE())</f>
        <v>SIM</v>
      </c>
      <c r="K19" s="64" t="str">
        <f aca="false">VLOOKUP($B19,Unidades!$D$5:$N$29,11,FALSE())</f>
        <v>SIM</v>
      </c>
      <c r="L19" s="64" t="n">
        <f aca="false">$L$6*H19+(IF(J19="SIM",$J$6,0))</f>
        <v>5.3</v>
      </c>
      <c r="M19" s="64" t="n">
        <f aca="false">$M$6*H19+(IF(J19="SIM",$J$6,0))+(IF(K19="SIM",$K$6,0))</f>
        <v>9.3</v>
      </c>
      <c r="N19" s="64" t="n">
        <f aca="false">H19*12+I19*4+L19*2+M19</f>
        <v>70.3</v>
      </c>
      <c r="O19" s="65" t="n">
        <f aca="false">IF(K19="não", N19*(C$23+D$23),N19*(C$23+D$23)+(M19*+E$23))</f>
        <v>4260.877</v>
      </c>
      <c r="P19" s="66"/>
      <c r="Q19" s="22" t="str">
        <f aca="false">B19</f>
        <v>GEX/APS MARINGÁ</v>
      </c>
      <c r="R19" s="24" t="n">
        <f aca="false">H19*($C$23+$D$23)</f>
        <v>167.34</v>
      </c>
      <c r="S19" s="24" t="n">
        <f aca="false">I19*($C$23+$D$23)</f>
        <v>200.808</v>
      </c>
      <c r="T19" s="24" t="n">
        <f aca="false">L19*($C$23+$D$23)</f>
        <v>295.634</v>
      </c>
      <c r="U19" s="24" t="n">
        <f aca="false">IF(K19="não",M19*($C$23+$D$23),M19*(C$23+D$23+E$23))</f>
        <v>858.297</v>
      </c>
      <c r="V19" s="24" t="n">
        <f aca="false">VLOOKUP(Q19,'Desl. Base Maringá'!$C$5:$S$17,13,FALSE())*($C$23+$D$23+$E$23*(VLOOKUP(Q19,'Desl. Base Maringá'!$C$5:$S$17,17,FALSE())/12))</f>
        <v>0</v>
      </c>
      <c r="W19" s="24" t="n">
        <f aca="false">VLOOKUP(Q19,'Desl. Base Maringá'!$C$5:$Q$17,15,FALSE())*(2+(VLOOKUP(Q19,'Desl. Base Maringá'!$C$5:$S$17,17,FALSE())/12))</f>
        <v>0</v>
      </c>
      <c r="X19" s="24" t="n">
        <f aca="false">VLOOKUP(Q19,'Desl. Base Maringá'!$C$5:$Q$17,14,FALSE())</f>
        <v>0</v>
      </c>
      <c r="Y19" s="24" t="n">
        <f aca="false">VLOOKUP(Q19,'Desl. Base Maringá'!$C$5:$Q$17,13,FALSE())*'Desl. Base Maringá'!$E$22+'Desl. Base Maringá'!$E$23*N19/12</f>
        <v>40.7154166666667</v>
      </c>
      <c r="Z19" s="24" t="n">
        <f aca="false">(H19/$AC$5)*'Equipe Técnica'!$C$13</f>
        <v>479.193983772017</v>
      </c>
      <c r="AA19" s="24" t="n">
        <f aca="false">(I19/$AC$5)*'Equipe Técnica'!$C$13</f>
        <v>575.03278052642</v>
      </c>
      <c r="AB19" s="24" t="n">
        <f aca="false">(L19/$AC$5)*'Equipe Técnica'!$C$13</f>
        <v>846.576037997229</v>
      </c>
      <c r="AC19" s="24" t="n">
        <f aca="false">(M19/$AC$5)*'Equipe Técnica'!$C$13</f>
        <v>1485.50134969325</v>
      </c>
      <c r="AD19" s="24" t="n">
        <f aca="false">R19+(($V19+$W19+$X19+$Y19)*12/19)+$Z19</f>
        <v>672.248983772017</v>
      </c>
      <c r="AE19" s="24" t="n">
        <f aca="false">S19+(($V19+$W19+$X19+$Y19)*12/19)+$AA19</f>
        <v>801.55578052642</v>
      </c>
      <c r="AF19" s="24" t="n">
        <f aca="false">T19+(($V19+$W19+$X19+$Y19)*12/19)+$AB19</f>
        <v>1167.92503799723</v>
      </c>
      <c r="AG19" s="24" t="n">
        <f aca="false">U19+(($V19+$W19+$X19+$Y19)*12/19)+$AC19</f>
        <v>2369.51334969325</v>
      </c>
      <c r="AI19" s="22" t="str">
        <f aca="false">B19</f>
        <v>GEX/APS MARINGÁ</v>
      </c>
      <c r="AJ19" s="67" t="n">
        <f aca="false">VLOOKUP(AI19,Unidades!D$5:H$29,5,)</f>
        <v>0.2979</v>
      </c>
      <c r="AK19" s="46" t="n">
        <f aca="false">AD19*(1+$AJ19)</f>
        <v>872.511956037701</v>
      </c>
      <c r="AL19" s="46" t="n">
        <f aca="false">AE19*(1+$AJ19)</f>
        <v>1040.33924754524</v>
      </c>
      <c r="AM19" s="46" t="n">
        <f aca="false">AF19*(1+$AJ19)</f>
        <v>1515.8499068166</v>
      </c>
      <c r="AN19" s="46" t="n">
        <f aca="false">AG19*(1+$AJ19)</f>
        <v>3075.39137656687</v>
      </c>
      <c r="AO19" s="46" t="n">
        <f aca="false">((AK19*12)+(AL19*4)+(AM19*2)+AN19)/12</f>
        <v>1728.21597106945</v>
      </c>
      <c r="AP19" s="46" t="n">
        <f aca="false">AO19*3</f>
        <v>5184.64791320836</v>
      </c>
      <c r="AQ19" s="46" t="n">
        <f aca="false">AO19+AP19</f>
        <v>6912.86388427782</v>
      </c>
      <c r="AR19" s="68"/>
      <c r="AS19" s="68"/>
      <c r="AT19" s="68"/>
      <c r="AU19" s="68"/>
      <c r="AV19" s="68"/>
      <c r="AW19" s="68"/>
    </row>
    <row r="20" s="53" customFormat="true" ht="19.5" hidden="false" customHeight="true" outlineLevel="0" collapsed="false">
      <c r="B20" s="72" t="s">
        <v>100</v>
      </c>
      <c r="C20" s="73" t="n">
        <f aca="false">SUM(C7:C19)</f>
        <v>16118.64</v>
      </c>
      <c r="D20" s="73" t="n">
        <f aca="false">SUM(D7:D19)</f>
        <v>11037.32</v>
      </c>
      <c r="E20" s="73" t="n">
        <f aca="false">SUM(E7:E19)</f>
        <v>3353.5</v>
      </c>
      <c r="F20" s="73" t="n">
        <f aca="false">SUM(F7:F19)</f>
        <v>1727.82</v>
      </c>
      <c r="G20" s="73" t="n">
        <f aca="false">SUM(G7:G19)</f>
        <v>12383.827</v>
      </c>
      <c r="H20" s="74" t="n">
        <f aca="false">SUM(H7:H19)</f>
        <v>24</v>
      </c>
      <c r="I20" s="74" t="n">
        <f aca="false">SUM(I7:I19)</f>
        <v>28.8</v>
      </c>
      <c r="J20" s="74" t="n">
        <f aca="false">COUNTIF(J7:J19,"SIM")</f>
        <v>4</v>
      </c>
      <c r="K20" s="74" t="n">
        <f aca="false">COUNTIF(K7:K19,"SIM")</f>
        <v>4</v>
      </c>
      <c r="L20" s="74" t="n">
        <f aca="false">SUM(L7:L19)</f>
        <v>34.4</v>
      </c>
      <c r="M20" s="74" t="n">
        <f aca="false">SUM(M7:M19)</f>
        <v>50.4</v>
      </c>
      <c r="N20" s="74" t="n">
        <f aca="false">SUM(N7:N19)</f>
        <v>522.4</v>
      </c>
      <c r="O20" s="75" t="n">
        <f aca="false">SUM(O7:O19)</f>
        <v>30417.322</v>
      </c>
      <c r="P20" s="76"/>
      <c r="Q20" s="74" t="s">
        <v>100</v>
      </c>
      <c r="R20" s="77" t="n">
        <f aca="false">SUM(R7:R19)</f>
        <v>1338.72</v>
      </c>
      <c r="S20" s="77" t="n">
        <f aca="false">SUM(S7:S19)</f>
        <v>1606.464</v>
      </c>
      <c r="T20" s="77" t="n">
        <f aca="false">SUM(T7:T19)</f>
        <v>1918.832</v>
      </c>
      <c r="U20" s="77" t="n">
        <f aca="false">SUM(U7:U19)</f>
        <v>4089.162</v>
      </c>
      <c r="V20" s="77" t="n">
        <f aca="false">SUM(V7:V19)</f>
        <v>1147.12370833333</v>
      </c>
      <c r="W20" s="77" t="n">
        <f aca="false">SUM(W7:W19)</f>
        <v>0</v>
      </c>
      <c r="X20" s="77" t="n">
        <f aca="false">SUM(X7:X19)</f>
        <v>0</v>
      </c>
      <c r="Y20" s="77" t="n">
        <f aca="false">SUM(Y7:Y19)</f>
        <v>1358.113</v>
      </c>
      <c r="Z20" s="77" t="n">
        <f aca="false">SUM(Z7:Z19)</f>
        <v>3833.55187017613</v>
      </c>
      <c r="AA20" s="77" t="n">
        <f aca="false">SUM(AA7:AA19)</f>
        <v>4600.26224421136</v>
      </c>
      <c r="AB20" s="77" t="n">
        <f aca="false">SUM(AB7:AB19)</f>
        <v>5494.75768058579</v>
      </c>
      <c r="AC20" s="77" t="n">
        <f aca="false">SUM(AC7:AC19)</f>
        <v>8050.45892736988</v>
      </c>
      <c r="AD20" s="77" t="n">
        <f aca="false">SUM(AD7:AD19)</f>
        <v>6754.52663333403</v>
      </c>
      <c r="AE20" s="77" t="n">
        <f aca="false">SUM(AE7:AE19)</f>
        <v>7788.98100736925</v>
      </c>
      <c r="AF20" s="77" t="n">
        <f aca="false">SUM(AF7:AF19)</f>
        <v>8995.84444374369</v>
      </c>
      <c r="AG20" s="77" t="n">
        <f aca="false">SUM(AG7:AG19)</f>
        <v>13721.8756905278</v>
      </c>
      <c r="AI20" s="74" t="s">
        <v>100</v>
      </c>
      <c r="AJ20" s="74"/>
      <c r="AK20" s="78" t="n">
        <f aca="false">SUM(AK7:AK19)</f>
        <v>8795.15738430716</v>
      </c>
      <c r="AL20" s="78" t="n">
        <f aca="false">SUM(AL7:AL19)</f>
        <v>10141.7260390083</v>
      </c>
      <c r="AM20" s="78" t="n">
        <f aca="false">SUM(AM7:AM19)</f>
        <v>11719.1989182305</v>
      </c>
      <c r="AN20" s="78" t="n">
        <f aca="false">SUM(AN7:AN19)</f>
        <v>17887.7278025759</v>
      </c>
      <c r="AO20" s="78" t="n">
        <f aca="false">SUM(AO7:AO19)</f>
        <v>15619.5765338963</v>
      </c>
      <c r="AP20" s="78" t="n">
        <f aca="false">SUM(AP7:AP19)</f>
        <v>46858.729601689</v>
      </c>
      <c r="AQ20" s="78" t="n">
        <f aca="false">SUM(AQ7:AQ19)</f>
        <v>62478.3061355853</v>
      </c>
    </row>
    <row r="21" customFormat="false" ht="18" hidden="false" customHeight="true" outlineLevel="0" collapsed="false">
      <c r="H21" s="79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54"/>
      <c r="AE21" s="54"/>
      <c r="AF21" s="54"/>
      <c r="AG21" s="54"/>
    </row>
    <row r="22" customFormat="false" ht="39.75" hidden="false" customHeight="true" outlineLevel="0" collapsed="false">
      <c r="B22" s="45" t="s">
        <v>30</v>
      </c>
      <c r="C22" s="81" t="s">
        <v>101</v>
      </c>
      <c r="D22" s="81" t="s">
        <v>102</v>
      </c>
      <c r="E22" s="81" t="s">
        <v>103</v>
      </c>
      <c r="R22" s="82"/>
      <c r="Z22" s="82"/>
      <c r="AA22" s="82"/>
      <c r="AB22" s="82"/>
      <c r="AC22" s="82"/>
    </row>
    <row r="23" customFormat="false" ht="18" hidden="false" customHeight="true" outlineLevel="0" collapsed="false">
      <c r="B23" s="45"/>
      <c r="C23" s="24" t="n">
        <v>31.12</v>
      </c>
      <c r="D23" s="24" t="n">
        <v>24.66</v>
      </c>
      <c r="E23" s="24" t="n">
        <v>36.51</v>
      </c>
    </row>
    <row r="24" customFormat="false" ht="28.5" hidden="false" customHeight="true" outlineLevel="0" collapsed="false">
      <c r="B24" s="49" t="str">
        <f aca="false">'Equipe Técnica'!B9</f>
        <v>* Tabela SINAPI Outubro/2023 (Desonerado)</v>
      </c>
    </row>
    <row r="25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0:AJ20"/>
    <mergeCell ref="B22:B23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39"/>
  <sheetViews>
    <sheetView showFormulas="false" showGridLines="false" showRowColHeaders="true" showZeros="true" rightToLeft="false" tabSelected="false" showOutlineSymbols="true" defaultGridColor="true" view="normal" topLeftCell="A4" colorId="64" zoomScale="110" zoomScaleNormal="110" zoomScalePageLayoutView="100" workbookViewId="0">
      <selection pane="topLeft" activeCell="R10" activeCellId="0" sqref="R10"/>
    </sheetView>
  </sheetViews>
  <sheetFormatPr defaultColWidth="8.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3" width="12.62"/>
    <col collapsed="false" customWidth="true" hidden="false" outlineLevel="0" max="3" min="3" style="83" width="32.62"/>
    <col collapsed="false" customWidth="true" hidden="false" outlineLevel="0" max="13" min="4" style="83" width="9.62"/>
    <col collapsed="false" customWidth="true" hidden="false" outlineLevel="0" max="15" min="14" style="84" width="9.62"/>
    <col collapsed="false" customWidth="true" hidden="false" outlineLevel="0" max="17" min="16" style="83" width="9.62"/>
    <col collapsed="false" customWidth="true" hidden="false" outlineLevel="0" max="18" min="18" style="83" width="10.5"/>
    <col collapsed="false" customWidth="true" hidden="false" outlineLevel="0" max="19" min="19" style="83" width="11.75"/>
    <col collapsed="false" customWidth="false" hidden="false" outlineLevel="0" max="260" min="20" style="83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"&amp;Resumo!B5</f>
        <v>DESLOCAMENTO BASE MARINGÁ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customFormat="false" ht="15" hidden="false" customHeight="true" outlineLevel="0" collapsed="false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</row>
    <row r="4" customFormat="false" ht="37.5" hidden="false" customHeight="true" outlineLevel="0" collapsed="false">
      <c r="B4" s="21" t="s">
        <v>104</v>
      </c>
      <c r="C4" s="21" t="str">
        <f aca="false">"Rota (saída e retorno "&amp;Resumo!B5&amp;")"</f>
        <v>Rota (saída e retorno MARINGÁ)</v>
      </c>
      <c r="D4" s="21" t="s">
        <v>105</v>
      </c>
      <c r="E4" s="21" t="s">
        <v>106</v>
      </c>
      <c r="F4" s="21" t="s">
        <v>107</v>
      </c>
      <c r="G4" s="21" t="s">
        <v>108</v>
      </c>
      <c r="H4" s="21" t="s">
        <v>109</v>
      </c>
      <c r="I4" s="21" t="s">
        <v>110</v>
      </c>
      <c r="J4" s="21" t="s">
        <v>111</v>
      </c>
      <c r="K4" s="21" t="s">
        <v>112</v>
      </c>
      <c r="L4" s="21" t="s">
        <v>113</v>
      </c>
      <c r="M4" s="86" t="s">
        <v>114</v>
      </c>
      <c r="N4" s="21" t="s">
        <v>115</v>
      </c>
      <c r="O4" s="21" t="s">
        <v>116</v>
      </c>
      <c r="P4" s="21" t="s">
        <v>117</v>
      </c>
      <c r="Q4" s="21" t="s">
        <v>66</v>
      </c>
      <c r="R4" s="21" t="s">
        <v>118</v>
      </c>
      <c r="S4" s="21" t="s">
        <v>119</v>
      </c>
    </row>
    <row r="5" customFormat="false" ht="15.75" hidden="false" customHeight="true" outlineLevel="0" collapsed="false">
      <c r="B5" s="87" t="n">
        <v>1</v>
      </c>
      <c r="C5" s="88" t="s">
        <v>99</v>
      </c>
      <c r="D5" s="89" t="n">
        <v>0</v>
      </c>
      <c r="E5" s="89" t="n">
        <v>0</v>
      </c>
      <c r="F5" s="89" t="n">
        <v>0</v>
      </c>
      <c r="G5" s="90" t="n">
        <v>0</v>
      </c>
      <c r="H5" s="89" t="n">
        <v>0</v>
      </c>
      <c r="I5" s="89" t="n">
        <v>0</v>
      </c>
      <c r="J5" s="89" t="n">
        <v>0</v>
      </c>
      <c r="K5" s="91" t="n">
        <f aca="false">SUM(H5:J5)</f>
        <v>0</v>
      </c>
      <c r="L5" s="92" t="n">
        <f aca="false">K5/60</f>
        <v>0</v>
      </c>
      <c r="M5" s="93" t="n">
        <v>0</v>
      </c>
      <c r="N5" s="91" t="n">
        <v>1</v>
      </c>
      <c r="O5" s="92" t="n">
        <f aca="false">L5/N5</f>
        <v>0</v>
      </c>
      <c r="P5" s="94" t="n">
        <v>0</v>
      </c>
      <c r="Q5" s="94" t="n">
        <v>0</v>
      </c>
      <c r="R5" s="95" t="str">
        <f aca="false">INDEX('Base Maringá'!$K$7:$K$19,MATCH('Desl. Base Maringá'!C5,'Base Maringá'!$B$7:$B$19,0))</f>
        <v>SIM</v>
      </c>
      <c r="S5" s="96" t="n">
        <v>1</v>
      </c>
    </row>
    <row r="6" customFormat="false" ht="15.75" hidden="false" customHeight="true" outlineLevel="0" collapsed="false">
      <c r="B6" s="87"/>
      <c r="C6" s="88" t="s">
        <v>81</v>
      </c>
      <c r="D6" s="89" t="n">
        <v>48.1</v>
      </c>
      <c r="E6" s="89" t="n">
        <v>49.1</v>
      </c>
      <c r="F6" s="89" t="n">
        <v>0</v>
      </c>
      <c r="G6" s="90" t="n">
        <f aca="false">SUM(D6:F7)</f>
        <v>169.6</v>
      </c>
      <c r="H6" s="89" t="n">
        <v>58</v>
      </c>
      <c r="I6" s="89" t="n">
        <v>59</v>
      </c>
      <c r="J6" s="89" t="n">
        <v>0</v>
      </c>
      <c r="K6" s="91" t="n">
        <f aca="false">SUM(H6:J7)</f>
        <v>207</v>
      </c>
      <c r="L6" s="92" t="n">
        <f aca="false">K6/60</f>
        <v>3.45</v>
      </c>
      <c r="M6" s="93" t="n">
        <v>0</v>
      </c>
      <c r="N6" s="91" t="n">
        <v>1</v>
      </c>
      <c r="O6" s="92" t="n">
        <f aca="false">L6/N6</f>
        <v>3.45</v>
      </c>
      <c r="P6" s="94" t="n">
        <v>0</v>
      </c>
      <c r="Q6" s="94" t="n">
        <v>0</v>
      </c>
      <c r="R6" s="95" t="str">
        <f aca="false">INDEX('Base Maringá'!$K$7:$K$19,MATCH('Desl. Base Maringá'!C6,'Base Maringá'!$B$7:$B$19,0))</f>
        <v>NÃO</v>
      </c>
      <c r="S6" s="96" t="n">
        <v>0</v>
      </c>
    </row>
    <row r="7" customFormat="false" ht="15.75" hidden="false" customHeight="true" outlineLevel="0" collapsed="false">
      <c r="B7" s="87" t="n">
        <v>2</v>
      </c>
      <c r="C7" s="88" t="s">
        <v>98</v>
      </c>
      <c r="D7" s="89" t="n">
        <v>2.9</v>
      </c>
      <c r="E7" s="89" t="n">
        <v>33</v>
      </c>
      <c r="F7" s="89" t="n">
        <v>36.5</v>
      </c>
      <c r="G7" s="97" t="n">
        <f aca="false">SUM(D7:F8)</f>
        <v>72.4</v>
      </c>
      <c r="H7" s="89" t="n">
        <v>10</v>
      </c>
      <c r="I7" s="89" t="n">
        <v>35</v>
      </c>
      <c r="J7" s="89" t="n">
        <v>45</v>
      </c>
      <c r="K7" s="91" t="n">
        <f aca="false">SUM(H7:J8)</f>
        <v>90</v>
      </c>
      <c r="L7" s="98" t="n">
        <f aca="false">K7/60</f>
        <v>1.5</v>
      </c>
      <c r="M7" s="93" t="n">
        <v>0</v>
      </c>
      <c r="N7" s="91" t="n">
        <v>2</v>
      </c>
      <c r="O7" s="98" t="n">
        <f aca="false">L7/N7</f>
        <v>0.75</v>
      </c>
      <c r="P7" s="93" t="n">
        <v>0</v>
      </c>
      <c r="Q7" s="93" t="n">
        <v>0</v>
      </c>
      <c r="R7" s="95" t="str">
        <f aca="false">INDEX('Base Maringá'!$K$7:$K$19,MATCH('Desl. Base Maringá'!C7,'Base Maringá'!$B$7:$B$19,0))</f>
        <v>NÃO</v>
      </c>
      <c r="S7" s="96" t="n">
        <v>0</v>
      </c>
    </row>
    <row r="8" customFormat="false" ht="15.75" hidden="false" customHeight="true" outlineLevel="0" collapsed="false">
      <c r="B8" s="87"/>
      <c r="C8" s="88" t="s">
        <v>90</v>
      </c>
      <c r="D8" s="89"/>
      <c r="E8" s="89"/>
      <c r="F8" s="89"/>
      <c r="G8" s="97"/>
      <c r="H8" s="89"/>
      <c r="I8" s="89"/>
      <c r="J8" s="89"/>
      <c r="K8" s="91"/>
      <c r="L8" s="98"/>
      <c r="M8" s="93" t="n">
        <v>0</v>
      </c>
      <c r="N8" s="91"/>
      <c r="O8" s="98" t="n">
        <f aca="false">O7</f>
        <v>0.75</v>
      </c>
      <c r="P8" s="93" t="n">
        <v>0</v>
      </c>
      <c r="Q8" s="93" t="n">
        <v>0</v>
      </c>
      <c r="R8" s="95" t="str">
        <f aca="false">INDEX('Base Maringá'!$K$7:$K$19,MATCH('Desl. Base Maringá'!C8,'Base Maringá'!$B$7:$B$19,0))</f>
        <v>NÃO</v>
      </c>
      <c r="S8" s="96" t="n">
        <v>0</v>
      </c>
    </row>
    <row r="9" customFormat="false" ht="15.75" hidden="false" customHeight="true" outlineLevel="0" collapsed="false">
      <c r="B9" s="87" t="n">
        <v>3</v>
      </c>
      <c r="C9" s="88" t="s">
        <v>96</v>
      </c>
      <c r="D9" s="89" t="n">
        <v>43.6</v>
      </c>
      <c r="E9" s="89" t="n">
        <f aca="false">75.8-D9</f>
        <v>32.2</v>
      </c>
      <c r="F9" s="89" t="n">
        <v>73.1</v>
      </c>
      <c r="G9" s="97" t="n">
        <f aca="false">SUM(D9:F10)</f>
        <v>148.9</v>
      </c>
      <c r="H9" s="89" t="n">
        <v>57</v>
      </c>
      <c r="I9" s="89" t="n">
        <f aca="false">74-H9</f>
        <v>17</v>
      </c>
      <c r="J9" s="89" t="n">
        <v>69</v>
      </c>
      <c r="K9" s="91" t="n">
        <f aca="false">SUM(H9:J10)</f>
        <v>143</v>
      </c>
      <c r="L9" s="98" t="n">
        <f aca="false">K9/60</f>
        <v>2.38333333333333</v>
      </c>
      <c r="M9" s="93" t="n">
        <v>0</v>
      </c>
      <c r="N9" s="91" t="n">
        <v>2</v>
      </c>
      <c r="O9" s="98" t="n">
        <f aca="false">L9/N9</f>
        <v>1.19166666666667</v>
      </c>
      <c r="P9" s="93" t="n">
        <v>0</v>
      </c>
      <c r="Q9" s="93" t="n">
        <v>0</v>
      </c>
      <c r="R9" s="95" t="str">
        <f aca="false">INDEX('Base Maringá'!$K$7:$K$19,MATCH('Desl. Base Maringá'!C9,'Base Maringá'!$B$7:$B$19,0))</f>
        <v>SIM</v>
      </c>
      <c r="S9" s="96" t="n">
        <v>1</v>
      </c>
    </row>
    <row r="10" customFormat="false" ht="15.75" hidden="false" customHeight="true" outlineLevel="0" collapsed="false">
      <c r="B10" s="87"/>
      <c r="C10" s="88" t="s">
        <v>89</v>
      </c>
      <c r="D10" s="89"/>
      <c r="E10" s="89"/>
      <c r="F10" s="89"/>
      <c r="G10" s="97"/>
      <c r="H10" s="89"/>
      <c r="I10" s="89"/>
      <c r="J10" s="89"/>
      <c r="K10" s="91"/>
      <c r="L10" s="98"/>
      <c r="M10" s="93" t="n">
        <v>0</v>
      </c>
      <c r="N10" s="91"/>
      <c r="O10" s="98" t="n">
        <f aca="false">O9</f>
        <v>1.19166666666667</v>
      </c>
      <c r="P10" s="93" t="n">
        <v>0</v>
      </c>
      <c r="Q10" s="93" t="n">
        <v>0</v>
      </c>
      <c r="R10" s="95" t="str">
        <f aca="false">INDEX('Base Maringá'!$K$7:$K$19,MATCH('Desl. Base Maringá'!C10,'Base Maringá'!$B$7:$B$19,0))</f>
        <v>NÃO</v>
      </c>
      <c r="S10" s="96" t="n">
        <v>1</v>
      </c>
    </row>
    <row r="11" customFormat="false" ht="15.75" hidden="false" customHeight="true" outlineLevel="0" collapsed="false">
      <c r="B11" s="87" t="n">
        <v>4</v>
      </c>
      <c r="C11" s="88" t="s">
        <v>92</v>
      </c>
      <c r="D11" s="89" t="n">
        <v>43.6</v>
      </c>
      <c r="E11" s="89" t="n">
        <f aca="false">94-D11</f>
        <v>50.4</v>
      </c>
      <c r="F11" s="89" t="n">
        <v>92.3</v>
      </c>
      <c r="G11" s="97" t="n">
        <f aca="false">SUM(D11:F12)</f>
        <v>186.3</v>
      </c>
      <c r="H11" s="89" t="n">
        <v>46</v>
      </c>
      <c r="I11" s="89" t="n">
        <f aca="false">85-H11</f>
        <v>39</v>
      </c>
      <c r="J11" s="89" t="n">
        <v>82</v>
      </c>
      <c r="K11" s="91" t="n">
        <f aca="false">SUM(H11:J12)</f>
        <v>167</v>
      </c>
      <c r="L11" s="98" t="n">
        <f aca="false">K11/60</f>
        <v>2.78333333333333</v>
      </c>
      <c r="M11" s="93" t="n">
        <v>0</v>
      </c>
      <c r="N11" s="91" t="n">
        <v>2</v>
      </c>
      <c r="O11" s="98" t="n">
        <f aca="false">L11/N11</f>
        <v>1.39166666666667</v>
      </c>
      <c r="P11" s="93" t="n">
        <v>0</v>
      </c>
      <c r="Q11" s="93" t="n">
        <v>0</v>
      </c>
      <c r="R11" s="95" t="str">
        <f aca="false">INDEX('Base Maringá'!$K$7:$K$19,MATCH('Desl. Base Maringá'!C11,'Base Maringá'!$B$7:$B$19,0))</f>
        <v>NÃO</v>
      </c>
      <c r="S11" s="96" t="n">
        <v>0</v>
      </c>
    </row>
    <row r="12" customFormat="false" ht="15.75" hidden="false" customHeight="true" outlineLevel="0" collapsed="false">
      <c r="B12" s="87"/>
      <c r="C12" s="88" t="s">
        <v>86</v>
      </c>
      <c r="D12" s="89"/>
      <c r="E12" s="89"/>
      <c r="F12" s="89"/>
      <c r="G12" s="97"/>
      <c r="H12" s="89"/>
      <c r="I12" s="89"/>
      <c r="J12" s="89"/>
      <c r="K12" s="91"/>
      <c r="L12" s="98"/>
      <c r="M12" s="93" t="n">
        <v>0</v>
      </c>
      <c r="N12" s="91"/>
      <c r="O12" s="98" t="n">
        <f aca="false">O11</f>
        <v>1.39166666666667</v>
      </c>
      <c r="P12" s="93" t="n">
        <v>0</v>
      </c>
      <c r="Q12" s="93" t="n">
        <v>0</v>
      </c>
      <c r="R12" s="95" t="str">
        <f aca="false">INDEX('Base Maringá'!$K$7:$K$19,MATCH('Desl. Base Maringá'!C12,'Base Maringá'!$B$7:$B$19,0))</f>
        <v>NÃO</v>
      </c>
      <c r="S12" s="96" t="n">
        <v>0</v>
      </c>
    </row>
    <row r="13" customFormat="false" ht="15.75" hidden="false" customHeight="true" outlineLevel="0" collapsed="false">
      <c r="B13" s="87" t="n">
        <v>5</v>
      </c>
      <c r="C13" s="88" t="s">
        <v>87</v>
      </c>
      <c r="D13" s="89" t="n">
        <v>134</v>
      </c>
      <c r="E13" s="89" t="n">
        <f aca="false">163-D13</f>
        <v>29</v>
      </c>
      <c r="F13" s="89" t="n">
        <v>162</v>
      </c>
      <c r="G13" s="97" t="n">
        <f aca="false">SUM(D13:F14)</f>
        <v>325</v>
      </c>
      <c r="H13" s="89" t="n">
        <v>114</v>
      </c>
      <c r="I13" s="89" t="n">
        <f aca="false">144-H13</f>
        <v>30</v>
      </c>
      <c r="J13" s="89" t="n">
        <v>142</v>
      </c>
      <c r="K13" s="91" t="n">
        <f aca="false">SUM(H13:J14)</f>
        <v>286</v>
      </c>
      <c r="L13" s="98" t="n">
        <f aca="false">K13/60</f>
        <v>4.76666666666667</v>
      </c>
      <c r="M13" s="93" t="n">
        <v>0</v>
      </c>
      <c r="N13" s="91" t="n">
        <v>2</v>
      </c>
      <c r="O13" s="98" t="n">
        <f aca="false">L13/N13</f>
        <v>2.38333333333333</v>
      </c>
      <c r="P13" s="93" t="n">
        <v>0</v>
      </c>
      <c r="Q13" s="93" t="n">
        <v>0</v>
      </c>
      <c r="R13" s="95" t="str">
        <f aca="false">INDEX('Base Maringá'!$K$7:$K$19,MATCH('Desl. Base Maringá'!C13,'Base Maringá'!$B$7:$B$19,0))</f>
        <v>NÃO</v>
      </c>
      <c r="S13" s="96" t="n">
        <v>1</v>
      </c>
    </row>
    <row r="14" customFormat="false" ht="15.75" hidden="false" customHeight="true" outlineLevel="0" collapsed="false">
      <c r="B14" s="87"/>
      <c r="C14" s="88" t="s">
        <v>97</v>
      </c>
      <c r="D14" s="89"/>
      <c r="E14" s="89"/>
      <c r="F14" s="89"/>
      <c r="G14" s="97"/>
      <c r="H14" s="89"/>
      <c r="I14" s="89"/>
      <c r="J14" s="89"/>
      <c r="K14" s="91"/>
      <c r="L14" s="98"/>
      <c r="M14" s="93" t="n">
        <v>0</v>
      </c>
      <c r="N14" s="91"/>
      <c r="O14" s="98" t="n">
        <f aca="false">O13</f>
        <v>2.38333333333333</v>
      </c>
      <c r="P14" s="93" t="n">
        <v>0</v>
      </c>
      <c r="Q14" s="93" t="n">
        <v>0</v>
      </c>
      <c r="R14" s="95" t="str">
        <f aca="false">INDEX('Base Maringá'!$K$7:$K$19,MATCH('Desl. Base Maringá'!C14,'Base Maringá'!$B$7:$B$19,0))</f>
        <v>SIM</v>
      </c>
      <c r="S14" s="96" t="n">
        <v>1</v>
      </c>
    </row>
    <row r="15" customFormat="false" ht="15.75" hidden="false" customHeight="true" outlineLevel="0" collapsed="false">
      <c r="B15" s="87" t="n">
        <v>6</v>
      </c>
      <c r="C15" s="88" t="s">
        <v>94</v>
      </c>
      <c r="D15" s="89" t="n">
        <v>14.2</v>
      </c>
      <c r="E15" s="89" t="n">
        <f aca="false">80.6-D15</f>
        <v>66.4</v>
      </c>
      <c r="F15" s="89" t="n">
        <v>79.9</v>
      </c>
      <c r="G15" s="97" t="n">
        <f aca="false">SUM(D15:F16)</f>
        <v>160.5</v>
      </c>
      <c r="H15" s="89" t="n">
        <v>21</v>
      </c>
      <c r="I15" s="89" t="n">
        <f aca="false">77-H15</f>
        <v>56</v>
      </c>
      <c r="J15" s="89" t="n">
        <v>76</v>
      </c>
      <c r="K15" s="91" t="n">
        <f aca="false">SUM(H15:J16)</f>
        <v>153</v>
      </c>
      <c r="L15" s="98" t="n">
        <f aca="false">K15/60</f>
        <v>2.55</v>
      </c>
      <c r="M15" s="93" t="n">
        <v>0</v>
      </c>
      <c r="N15" s="91" t="n">
        <v>2</v>
      </c>
      <c r="O15" s="98" t="n">
        <f aca="false">L15/N15</f>
        <v>1.275</v>
      </c>
      <c r="P15" s="93" t="n">
        <v>0</v>
      </c>
      <c r="Q15" s="93" t="n">
        <v>0</v>
      </c>
      <c r="R15" s="95" t="str">
        <f aca="false">INDEX('Base Maringá'!$K$7:$K$19,MATCH('Desl. Base Maringá'!C15,'Base Maringá'!$B$7:$B$19,0))</f>
        <v>NÃO</v>
      </c>
      <c r="S15" s="96" t="n">
        <v>0</v>
      </c>
    </row>
    <row r="16" customFormat="false" ht="15.75" hidden="false" customHeight="true" outlineLevel="0" collapsed="false">
      <c r="B16" s="87"/>
      <c r="C16" s="88" t="s">
        <v>85</v>
      </c>
      <c r="D16" s="89"/>
      <c r="E16" s="89"/>
      <c r="F16" s="89"/>
      <c r="G16" s="97"/>
      <c r="H16" s="89"/>
      <c r="I16" s="89"/>
      <c r="J16" s="89"/>
      <c r="K16" s="91"/>
      <c r="L16" s="98"/>
      <c r="M16" s="93" t="n">
        <v>0</v>
      </c>
      <c r="N16" s="91"/>
      <c r="O16" s="98" t="n">
        <f aca="false">O15</f>
        <v>1.275</v>
      </c>
      <c r="P16" s="93" t="n">
        <v>0</v>
      </c>
      <c r="Q16" s="93" t="n">
        <v>0</v>
      </c>
      <c r="R16" s="95" t="str">
        <f aca="false">INDEX('Base Maringá'!$K$7:$K$19,MATCH('Desl. Base Maringá'!C16,'Base Maringá'!$B$7:$B$19,0))</f>
        <v>NÃO</v>
      </c>
      <c r="S16" s="96" t="n">
        <v>0</v>
      </c>
    </row>
    <row r="17" customFormat="false" ht="15.75" hidden="false" customHeight="true" outlineLevel="0" collapsed="false">
      <c r="B17" s="87" t="n">
        <v>7</v>
      </c>
      <c r="C17" s="88" t="s">
        <v>83</v>
      </c>
      <c r="D17" s="89" t="n">
        <v>89.8</v>
      </c>
      <c r="E17" s="89" t="n">
        <v>90</v>
      </c>
      <c r="F17" s="89" t="n">
        <v>0</v>
      </c>
      <c r="G17" s="97" t="n">
        <f aca="false">SUM(D17:F17)</f>
        <v>179.8</v>
      </c>
      <c r="H17" s="89" t="n">
        <v>79</v>
      </c>
      <c r="I17" s="89" t="n">
        <v>77</v>
      </c>
      <c r="J17" s="89" t="n">
        <v>0</v>
      </c>
      <c r="K17" s="91" t="n">
        <f aca="false">SUM(H17:J17)</f>
        <v>156</v>
      </c>
      <c r="L17" s="98" t="n">
        <f aca="false">K17/60</f>
        <v>2.6</v>
      </c>
      <c r="M17" s="93" t="n">
        <v>0</v>
      </c>
      <c r="N17" s="91" t="n">
        <v>1</v>
      </c>
      <c r="O17" s="98" t="n">
        <f aca="false">L17</f>
        <v>2.6</v>
      </c>
      <c r="P17" s="93" t="n">
        <v>0</v>
      </c>
      <c r="Q17" s="93" t="n">
        <v>0</v>
      </c>
      <c r="R17" s="95" t="str">
        <f aca="false">INDEX('Base Maringá'!$K$7:$K$19,MATCH('Desl. Base Maringá'!C17,'Base Maringá'!$B$7:$B$19,0))</f>
        <v>SIM</v>
      </c>
      <c r="S17" s="96" t="n">
        <v>1</v>
      </c>
    </row>
    <row r="18" customFormat="false" ht="19.5" hidden="false" customHeight="true" outlineLevel="0" collapsed="false">
      <c r="B18" s="99" t="s">
        <v>100</v>
      </c>
      <c r="C18" s="99"/>
      <c r="D18" s="99"/>
      <c r="E18" s="99"/>
      <c r="F18" s="99"/>
      <c r="G18" s="100" t="n">
        <f aca="false">SUM(G5:G17)</f>
        <v>1242.5</v>
      </c>
      <c r="H18" s="101" t="s">
        <v>100</v>
      </c>
      <c r="I18" s="101"/>
      <c r="J18" s="101"/>
      <c r="K18" s="102" t="n">
        <f aca="false">SUM(K5:K17)</f>
        <v>1202</v>
      </c>
      <c r="L18" s="103" t="n">
        <f aca="false">SUM(L5:L17)</f>
        <v>20.0333333333333</v>
      </c>
      <c r="M18" s="104" t="n">
        <f aca="false">SUM(M5:M17)</f>
        <v>0</v>
      </c>
      <c r="N18" s="105" t="n">
        <f aca="false">SUM(N5:N17)</f>
        <v>13</v>
      </c>
      <c r="O18" s="103"/>
      <c r="P18" s="104"/>
      <c r="Q18" s="104" t="n">
        <f aca="false">SUM(Q5:Q17)</f>
        <v>0</v>
      </c>
      <c r="R18" s="104"/>
      <c r="S18" s="104"/>
    </row>
    <row r="19" customFormat="false" ht="16.5" hidden="false" customHeight="true" outlineLevel="0" collapsed="false">
      <c r="B19" s="106"/>
      <c r="C19" s="106"/>
      <c r="D19" s="106"/>
      <c r="E19" s="106"/>
      <c r="F19" s="106"/>
    </row>
    <row r="20" customFormat="false" ht="18.75" hidden="false" customHeight="true" outlineLevel="0" collapsed="false">
      <c r="B20" s="107" t="s">
        <v>120</v>
      </c>
      <c r="C20" s="107"/>
      <c r="D20" s="107"/>
      <c r="E20" s="107"/>
      <c r="F20" s="106"/>
      <c r="G20" s="106"/>
      <c r="H20" s="106"/>
      <c r="I20" s="106"/>
      <c r="J20" s="106"/>
      <c r="K20" s="106"/>
      <c r="L20" s="106"/>
      <c r="M20" s="106"/>
      <c r="N20" s="108"/>
      <c r="O20" s="108"/>
    </row>
    <row r="21" customFormat="false" ht="18.75" hidden="false" customHeight="true" outlineLevel="0" collapsed="false">
      <c r="B21" s="109" t="s">
        <v>121</v>
      </c>
      <c r="C21" s="109" t="s">
        <v>122</v>
      </c>
      <c r="D21" s="109" t="s">
        <v>123</v>
      </c>
      <c r="E21" s="109" t="s">
        <v>124</v>
      </c>
      <c r="F21" s="106"/>
      <c r="G21" s="106"/>
      <c r="H21" s="108"/>
      <c r="I21" s="108"/>
      <c r="J21" s="106"/>
      <c r="K21" s="106"/>
      <c r="L21" s="106"/>
      <c r="M21" s="106"/>
      <c r="N21" s="108"/>
      <c r="O21" s="108"/>
    </row>
    <row r="22" customFormat="false" ht="18.75" hidden="false" customHeight="true" outlineLevel="0" collapsed="false">
      <c r="B22" s="48" t="s">
        <v>125</v>
      </c>
      <c r="C22" s="110" t="s">
        <v>126</v>
      </c>
      <c r="D22" s="48" t="s">
        <v>127</v>
      </c>
      <c r="E22" s="111" t="n">
        <f aca="false">'Comp. Veículo'!D11</f>
        <v>52.69</v>
      </c>
      <c r="F22" s="106"/>
      <c r="G22" s="106"/>
      <c r="H22" s="112"/>
      <c r="I22" s="112"/>
      <c r="J22" s="106"/>
      <c r="K22" s="106"/>
      <c r="L22" s="106"/>
      <c r="M22" s="106"/>
      <c r="N22" s="108"/>
      <c r="O22" s="108"/>
    </row>
    <row r="23" customFormat="false" ht="18.75" hidden="false" customHeight="true" outlineLevel="0" collapsed="false">
      <c r="B23" s="113" t="s">
        <v>128</v>
      </c>
      <c r="C23" s="114" t="s">
        <v>126</v>
      </c>
      <c r="D23" s="113" t="s">
        <v>129</v>
      </c>
      <c r="E23" s="115" t="n">
        <f aca="false">'Comp. Veículo'!D27</f>
        <v>6.95</v>
      </c>
      <c r="F23" s="106"/>
      <c r="G23" s="106"/>
      <c r="H23" s="112"/>
      <c r="I23" s="112"/>
      <c r="J23" s="106"/>
      <c r="K23" s="106"/>
      <c r="L23" s="106"/>
      <c r="M23" s="106"/>
      <c r="N23" s="108"/>
      <c r="O23" s="108"/>
    </row>
    <row r="24" customFormat="false" ht="47.25" hidden="false" customHeight="true" outlineLevel="0" collapsed="false">
      <c r="B24" s="116" t="s">
        <v>130</v>
      </c>
      <c r="C24" s="116"/>
      <c r="D24" s="116"/>
      <c r="E24" s="116"/>
      <c r="F24" s="117"/>
      <c r="G24" s="117"/>
      <c r="H24" s="117"/>
      <c r="I24" s="117"/>
      <c r="J24" s="117"/>
      <c r="K24" s="117"/>
      <c r="L24" s="117"/>
      <c r="M24" s="106"/>
      <c r="N24" s="108"/>
      <c r="O24" s="108"/>
    </row>
    <row r="25" customFormat="false" ht="16.5" hidden="false" customHeight="true" outlineLevel="0" collapsed="false">
      <c r="B25" s="118"/>
      <c r="C25" s="118"/>
      <c r="D25" s="118"/>
      <c r="E25" s="118"/>
      <c r="F25" s="117"/>
      <c r="G25" s="117"/>
      <c r="H25" s="117"/>
      <c r="I25" s="117"/>
      <c r="J25" s="117"/>
      <c r="K25" s="117"/>
      <c r="L25" s="117"/>
      <c r="M25" s="106"/>
      <c r="N25" s="108"/>
      <c r="O25" s="108"/>
    </row>
    <row r="26" customFormat="false" ht="16.5" hidden="false" customHeight="true" outlineLevel="0" collapsed="false">
      <c r="B26" s="107" t="s">
        <v>131</v>
      </c>
      <c r="C26" s="107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8"/>
      <c r="O26" s="108"/>
    </row>
    <row r="27" customFormat="false" ht="16.5" hidden="false" customHeight="true" outlineLevel="0" collapsed="false">
      <c r="B27" s="48" t="s">
        <v>127</v>
      </c>
      <c r="C27" s="111" t="n">
        <f aca="false">E22*L18</f>
        <v>1055.55633333333</v>
      </c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8"/>
      <c r="O27" s="108"/>
    </row>
    <row r="28" customFormat="false" ht="16.5" hidden="false" customHeight="true" outlineLevel="0" collapsed="false">
      <c r="B28" s="48" t="s">
        <v>129</v>
      </c>
      <c r="C28" s="111" t="n">
        <f aca="false">E23*('Base Maringá'!N20/12)</f>
        <v>302.556666666667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8"/>
      <c r="O28" s="108"/>
    </row>
    <row r="29" customFormat="false" ht="16.5" hidden="false" customHeight="true" outlineLevel="0" collapsed="false">
      <c r="B29" s="119" t="s">
        <v>28</v>
      </c>
      <c r="C29" s="120" t="n">
        <f aca="false">C27+C28</f>
        <v>1358.113</v>
      </c>
      <c r="D29" s="106"/>
      <c r="E29" s="106"/>
      <c r="F29" s="106"/>
      <c r="G29" s="106"/>
      <c r="H29" s="106"/>
      <c r="I29" s="106"/>
      <c r="M29" s="106"/>
      <c r="N29" s="108"/>
      <c r="O29" s="108"/>
    </row>
    <row r="30" customFormat="false" ht="16.5" hidden="false" customHeight="true" outlineLevel="0" collapsed="false">
      <c r="B30" s="106"/>
      <c r="C30" s="121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8"/>
      <c r="O30" s="108"/>
    </row>
    <row r="31" customFormat="false" ht="16.5" hidden="false" customHeight="true" outlineLevel="0" collapsed="false">
      <c r="B31" s="122" t="s">
        <v>132</v>
      </c>
      <c r="C31" s="122"/>
      <c r="D31" s="106"/>
      <c r="J31" s="106"/>
      <c r="K31" s="106"/>
      <c r="L31" s="106"/>
      <c r="M31" s="106"/>
      <c r="N31" s="108"/>
      <c r="O31" s="108"/>
    </row>
    <row r="32" customFormat="false" ht="16.5" hidden="false" customHeight="true" outlineLevel="0" collapsed="false">
      <c r="B32" s="123" t="s">
        <v>124</v>
      </c>
      <c r="C32" s="124" t="n">
        <f aca="false">SUM(M5:M17)</f>
        <v>0</v>
      </c>
      <c r="J32" s="106"/>
      <c r="K32" s="106"/>
      <c r="L32" s="106"/>
      <c r="M32" s="106"/>
      <c r="N32" s="108"/>
      <c r="O32" s="108"/>
    </row>
    <row r="33" customFormat="false" ht="16.5" hidden="false" customHeight="true" outlineLevel="0" collapsed="false">
      <c r="B33" s="106"/>
      <c r="C33" s="125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8"/>
      <c r="O33" s="108"/>
    </row>
    <row r="34" customFormat="false" ht="13.5" hidden="false" customHeight="false" outlineLevel="0" collapsed="false">
      <c r="B34" s="126" t="s">
        <v>133</v>
      </c>
      <c r="C34" s="127"/>
    </row>
    <row r="36" customFormat="false" ht="13.5" hidden="false" customHeight="false" outlineLevel="0" collapsed="false">
      <c r="B36" s="128" t="s">
        <v>66</v>
      </c>
      <c r="C36" s="128"/>
      <c r="D36" s="128"/>
      <c r="E36" s="128"/>
    </row>
    <row r="37" customFormat="false" ht="13.5" hidden="false" customHeight="false" outlineLevel="0" collapsed="false">
      <c r="B37" s="129" t="s">
        <v>134</v>
      </c>
      <c r="C37" s="129" t="s">
        <v>122</v>
      </c>
      <c r="D37" s="129" t="s">
        <v>123</v>
      </c>
      <c r="E37" s="129" t="s">
        <v>124</v>
      </c>
    </row>
    <row r="38" customFormat="false" ht="26.25" hidden="false" customHeight="false" outlineLevel="0" collapsed="false">
      <c r="B38" s="113" t="s">
        <v>135</v>
      </c>
      <c r="C38" s="130" t="s">
        <v>136</v>
      </c>
      <c r="D38" s="113" t="s">
        <v>137</v>
      </c>
      <c r="E38" s="115" t="n">
        <v>132.74</v>
      </c>
    </row>
    <row r="39" customFormat="false" ht="13.5" hidden="false" customHeight="false" outlineLevel="0" collapsed="false">
      <c r="B39" s="131" t="s">
        <v>138</v>
      </c>
      <c r="C39" s="131"/>
      <c r="D39" s="131"/>
      <c r="E39" s="131"/>
    </row>
  </sheetData>
  <mergeCells count="65">
    <mergeCell ref="B2:S2"/>
    <mergeCell ref="B5:B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5:N16"/>
    <mergeCell ref="B18:F18"/>
    <mergeCell ref="H18:J18"/>
    <mergeCell ref="B20:E20"/>
    <mergeCell ref="B24:E24"/>
    <mergeCell ref="B26:C26"/>
    <mergeCell ref="B31:C31"/>
    <mergeCell ref="B36:E36"/>
    <mergeCell ref="B39:E39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BN65529"/>
  <sheetViews>
    <sheetView showFormulas="false" showGridLines="false" showRowColHeaders="true" showZeros="true" rightToLeft="false" tabSelected="false" showOutlineSymbols="true" defaultGridColor="true" view="normal" topLeftCell="Q1" colorId="64" zoomScale="110" zoomScaleNormal="110" zoomScalePageLayoutView="100" workbookViewId="0">
      <selection pane="topLeft" activeCell="W7" activeCellId="0" sqref="W7"/>
    </sheetView>
  </sheetViews>
  <sheetFormatPr defaultColWidth="10.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true" hidden="false" outlineLevel="0" max="16" min="16" style="16" width="9.62"/>
    <col collapsed="false" customWidth="true" hidden="false" outlineLevel="0" max="17" min="17" style="16" width="31.62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1.62"/>
    <col collapsed="false" customWidth="true" hidden="false" outlineLevel="0" max="40" min="36" style="16" width="10.75"/>
    <col collapsed="false" customWidth="true" hidden="false" outlineLevel="0" max="41" min="41" style="16" width="14.5"/>
    <col collapsed="false" customWidth="true" hidden="false" outlineLevel="0" max="42" min="42" style="16" width="12.5"/>
    <col collapsed="false" customWidth="true" hidden="false" outlineLevel="0" max="43" min="43" style="16" width="14.25"/>
    <col collapsed="false" customWidth="true" hidden="false" outlineLevel="0" max="44" min="44" style="16" width="2.62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66" min="50" style="16" width="10.75"/>
    <col collapsed="false" customWidth="true" hidden="false" outlineLevel="0" max="256" min="67" style="2" width="10.75"/>
    <col collapsed="false" customWidth="true" hidden="false" outlineLevel="0" max="1024" min="1013" style="1" width="8.5"/>
  </cols>
  <sheetData>
    <row r="1" customFormat="false" ht="15" hidden="false" customHeight="true" outlineLevel="0" collapsed="false"/>
    <row r="2" s="51" customFormat="true" ht="24.75" hidden="false" customHeight="true" outlineLevel="0" collapsed="false">
      <c r="B2" s="52" t="str">
        <f aca="false">"BASE "&amp;Resumo!B6&amp;" - PLANILHA DE FORMAÇÃO DE PREÇOS"</f>
        <v>BASE CASCAVEL - PLANILHA DE FORMAÇÃO DE PREÇOS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  <c r="Q2" s="42" t="str">
        <f aca="false">"BASE "&amp;Resumo!B6&amp;" – PLANILHA DE DISTRIBUIÇÃO DE CUSTOS POR UNIDADE"</f>
        <v>BASE CASCAVEL – PLANILHA DE DISTRIBUIÇÃO DE CUSTOS POR UNIDADE</v>
      </c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3"/>
      <c r="AI2" s="55" t="str">
        <f aca="false">"BASE "&amp;Resumo!B6&amp;" – PLANILHA RESUMO DE CUSTOS DA BASE"</f>
        <v>BASE CASCAVEL – PLANILHA RESUMO DE CUSTOS DA BASE</v>
      </c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</row>
    <row r="3" customFormat="false" ht="15" hidden="false" customHeight="true" outlineLevel="0" collapsed="false">
      <c r="B3" s="51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</row>
    <row r="4" customFormat="false" ht="19.5" hidden="false" customHeight="true" outlineLevel="0" collapsed="false">
      <c r="B4" s="45" t="s">
        <v>41</v>
      </c>
      <c r="C4" s="45" t="s">
        <v>42</v>
      </c>
      <c r="D4" s="45"/>
      <c r="E4" s="45"/>
      <c r="F4" s="45"/>
      <c r="G4" s="45"/>
      <c r="H4" s="45" t="s">
        <v>43</v>
      </c>
      <c r="I4" s="45"/>
      <c r="J4" s="45"/>
      <c r="K4" s="45"/>
      <c r="L4" s="45"/>
      <c r="M4" s="45"/>
      <c r="N4" s="45"/>
      <c r="O4" s="45" t="s">
        <v>28</v>
      </c>
      <c r="P4" s="53"/>
      <c r="Q4" s="45" t="s">
        <v>44</v>
      </c>
      <c r="R4" s="56" t="s">
        <v>45</v>
      </c>
      <c r="S4" s="56"/>
      <c r="T4" s="56"/>
      <c r="U4" s="56"/>
      <c r="V4" s="56" t="s">
        <v>46</v>
      </c>
      <c r="W4" s="56"/>
      <c r="X4" s="56"/>
      <c r="Y4" s="56"/>
      <c r="Z4" s="56" t="s">
        <v>47</v>
      </c>
      <c r="AA4" s="56"/>
      <c r="AB4" s="56"/>
      <c r="AC4" s="56"/>
      <c r="AD4" s="56" t="s">
        <v>48</v>
      </c>
      <c r="AE4" s="56"/>
      <c r="AF4" s="56"/>
      <c r="AG4" s="56"/>
      <c r="AH4" s="54"/>
      <c r="AI4" s="45" t="s">
        <v>44</v>
      </c>
      <c r="AJ4" s="57" t="s">
        <v>49</v>
      </c>
      <c r="AK4" s="57"/>
      <c r="AL4" s="57"/>
      <c r="AM4" s="57"/>
      <c r="AN4" s="57"/>
      <c r="AO4" s="57" t="s">
        <v>50</v>
      </c>
      <c r="AP4" s="57"/>
      <c r="AQ4" s="57"/>
      <c r="AR4" s="58"/>
      <c r="AS4" s="57" t="str">
        <f aca="false">"Resumo de Custos da Base "&amp;Resumo!B6</f>
        <v>Resumo de Custos da Base CASCAVEL</v>
      </c>
      <c r="AT4" s="57"/>
      <c r="AU4" s="57"/>
      <c r="AV4" s="57"/>
      <c r="AW4" s="57"/>
    </row>
    <row r="5" customFormat="false" ht="39.75" hidden="false" customHeight="true" outlineLevel="0" collapsed="false">
      <c r="B5" s="45"/>
      <c r="C5" s="45" t="s">
        <v>28</v>
      </c>
      <c r="D5" s="45" t="s">
        <v>51</v>
      </c>
      <c r="E5" s="45" t="s">
        <v>52</v>
      </c>
      <c r="F5" s="45" t="s">
        <v>53</v>
      </c>
      <c r="G5" s="45" t="s">
        <v>54</v>
      </c>
      <c r="H5" s="45" t="s">
        <v>55</v>
      </c>
      <c r="I5" s="45" t="s">
        <v>56</v>
      </c>
      <c r="J5" s="45" t="s">
        <v>57</v>
      </c>
      <c r="K5" s="45" t="s">
        <v>58</v>
      </c>
      <c r="L5" s="45" t="s">
        <v>59</v>
      </c>
      <c r="M5" s="45" t="s">
        <v>60</v>
      </c>
      <c r="N5" s="45" t="s">
        <v>61</v>
      </c>
      <c r="O5" s="45"/>
      <c r="P5" s="53"/>
      <c r="Q5" s="45"/>
      <c r="R5" s="45" t="s">
        <v>70</v>
      </c>
      <c r="S5" s="45" t="s">
        <v>62</v>
      </c>
      <c r="T5" s="45" t="s">
        <v>63</v>
      </c>
      <c r="U5" s="45" t="s">
        <v>64</v>
      </c>
      <c r="V5" s="45" t="s">
        <v>65</v>
      </c>
      <c r="W5" s="45" t="s">
        <v>66</v>
      </c>
      <c r="X5" s="45" t="s">
        <v>67</v>
      </c>
      <c r="Y5" s="45" t="s">
        <v>68</v>
      </c>
      <c r="Z5" s="45" t="s">
        <v>69</v>
      </c>
      <c r="AA5" s="45"/>
      <c r="AB5" s="45"/>
      <c r="AC5" s="45" t="n">
        <f aca="false">N19+'Base Maringá'!N20</f>
        <v>1010.6</v>
      </c>
      <c r="AD5" s="56" t="s">
        <v>70</v>
      </c>
      <c r="AE5" s="56" t="s">
        <v>62</v>
      </c>
      <c r="AF5" s="56" t="s">
        <v>63</v>
      </c>
      <c r="AG5" s="56" t="s">
        <v>64</v>
      </c>
      <c r="AH5" s="41"/>
      <c r="AI5" s="45"/>
      <c r="AJ5" s="56" t="s">
        <v>71</v>
      </c>
      <c r="AK5" s="56" t="s">
        <v>70</v>
      </c>
      <c r="AL5" s="56" t="s">
        <v>62</v>
      </c>
      <c r="AM5" s="56" t="s">
        <v>63</v>
      </c>
      <c r="AN5" s="56" t="s">
        <v>64</v>
      </c>
      <c r="AO5" s="56" t="s">
        <v>72</v>
      </c>
      <c r="AP5" s="56" t="s">
        <v>73</v>
      </c>
      <c r="AQ5" s="56" t="s">
        <v>74</v>
      </c>
      <c r="AR5" s="54"/>
      <c r="AS5" s="56" t="s">
        <v>75</v>
      </c>
      <c r="AT5" s="56" t="s">
        <v>70</v>
      </c>
      <c r="AU5" s="56" t="s">
        <v>62</v>
      </c>
      <c r="AV5" s="56" t="s">
        <v>63</v>
      </c>
      <c r="AW5" s="56" t="s">
        <v>64</v>
      </c>
    </row>
    <row r="6" customFormat="false" ht="19.5" hidden="false" customHeight="true" outlineLevel="0" collapsed="false">
      <c r="B6" s="45"/>
      <c r="C6" s="59" t="s">
        <v>76</v>
      </c>
      <c r="D6" s="59" t="n">
        <v>1</v>
      </c>
      <c r="E6" s="59" t="n">
        <v>0.35</v>
      </c>
      <c r="F6" s="59" t="n">
        <v>0.1</v>
      </c>
      <c r="G6" s="45"/>
      <c r="H6" s="59" t="n">
        <v>1</v>
      </c>
      <c r="I6" s="59" t="n">
        <v>1.2</v>
      </c>
      <c r="J6" s="59" t="n">
        <v>2</v>
      </c>
      <c r="K6" s="59" t="n">
        <v>4</v>
      </c>
      <c r="L6" s="59" t="n">
        <v>1.1</v>
      </c>
      <c r="M6" s="59" t="n">
        <v>1.1</v>
      </c>
      <c r="N6" s="45"/>
      <c r="O6" s="45"/>
      <c r="P6" s="60"/>
      <c r="Q6" s="45"/>
      <c r="R6" s="59" t="s">
        <v>77</v>
      </c>
      <c r="S6" s="59" t="s">
        <v>78</v>
      </c>
      <c r="T6" s="59" t="s">
        <v>79</v>
      </c>
      <c r="U6" s="59" t="s">
        <v>80</v>
      </c>
      <c r="V6" s="45"/>
      <c r="W6" s="45"/>
      <c r="X6" s="45"/>
      <c r="Y6" s="45"/>
      <c r="Z6" s="35" t="s">
        <v>70</v>
      </c>
      <c r="AA6" s="35" t="s">
        <v>62</v>
      </c>
      <c r="AB6" s="35" t="s">
        <v>63</v>
      </c>
      <c r="AC6" s="35" t="s">
        <v>64</v>
      </c>
      <c r="AD6" s="56"/>
      <c r="AE6" s="56"/>
      <c r="AF6" s="56"/>
      <c r="AG6" s="56"/>
      <c r="AH6" s="54"/>
      <c r="AI6" s="45"/>
      <c r="AJ6" s="56"/>
      <c r="AK6" s="56"/>
      <c r="AL6" s="56"/>
      <c r="AM6" s="56"/>
      <c r="AN6" s="56"/>
      <c r="AO6" s="56"/>
      <c r="AP6" s="56"/>
      <c r="AQ6" s="56"/>
      <c r="AR6" s="61"/>
      <c r="AS6" s="56"/>
      <c r="AT6" s="35" t="s">
        <v>77</v>
      </c>
      <c r="AU6" s="35" t="s">
        <v>78</v>
      </c>
      <c r="AV6" s="35" t="s">
        <v>79</v>
      </c>
      <c r="AW6" s="35" t="s">
        <v>80</v>
      </c>
    </row>
    <row r="7" customFormat="false" ht="15" hidden="false" customHeight="true" outlineLevel="0" collapsed="false">
      <c r="B7" s="62" t="s">
        <v>139</v>
      </c>
      <c r="C7" s="63" t="n">
        <f aca="false">VLOOKUP($B7,Unidades!$D$5:$N$29,6,FALSE())</f>
        <v>851.2</v>
      </c>
      <c r="D7" s="63" t="n">
        <f aca="false">VLOOKUP($B7,Unidades!$D$5:$N$29,7,FALSE())</f>
        <v>425.6</v>
      </c>
      <c r="E7" s="63" t="n">
        <f aca="false">VLOOKUP($B7,Unidades!$D$5:$N$29,8,FALSE())</f>
        <v>42.56</v>
      </c>
      <c r="F7" s="63" t="n">
        <f aca="false">VLOOKUP($B7,Unidades!$D$5:$N$29,9,FALSE())</f>
        <v>383.04</v>
      </c>
      <c r="G7" s="63" t="n">
        <f aca="false">D7+$E$6*E7+$F$6*F7</f>
        <v>478.8</v>
      </c>
      <c r="H7" s="64" t="n">
        <f aca="false">IF(G7&lt;750,1.5,IF(G7&lt;2000,2,3))</f>
        <v>1.5</v>
      </c>
      <c r="I7" s="64" t="n">
        <f aca="false">$I$6*H7</f>
        <v>1.8</v>
      </c>
      <c r="J7" s="64" t="str">
        <f aca="false">VLOOKUP($B7,Unidades!$D$5:$N$29,10,FALSE())</f>
        <v>SIM</v>
      </c>
      <c r="K7" s="64" t="str">
        <f aca="false">VLOOKUP($B7,Unidades!$D$5:$N$29,11,FALSE())</f>
        <v>SIM</v>
      </c>
      <c r="L7" s="64" t="n">
        <f aca="false">$L$6*H7+(IF(J7="SIM",$J$6,0))</f>
        <v>3.65</v>
      </c>
      <c r="M7" s="64" t="n">
        <f aca="false">$M$6*H7+(IF(J7="SIM",$J$6,0))+(IF(K7="SIM",$K$6,0))</f>
        <v>7.65</v>
      </c>
      <c r="N7" s="64" t="n">
        <f aca="false">H7*12+I7*4+L7*2+M7</f>
        <v>40.15</v>
      </c>
      <c r="O7" s="65" t="n">
        <f aca="false">IF(K7="não", N7*(C$22+D$22),N7*(C$22+D$22)+(M7*+E$22))</f>
        <v>2518.8685</v>
      </c>
      <c r="P7" s="66"/>
      <c r="Q7" s="22" t="str">
        <f aca="false">B7</f>
        <v>APS GOIOERÊ</v>
      </c>
      <c r="R7" s="24" t="n">
        <f aca="false">H7*($C$22+$D$22)</f>
        <v>83.67</v>
      </c>
      <c r="S7" s="24" t="n">
        <f aca="false">I7*($C$22+$D$22)</f>
        <v>100.404</v>
      </c>
      <c r="T7" s="24" t="n">
        <f aca="false">L7*($C$22+$D$22)</f>
        <v>203.597</v>
      </c>
      <c r="U7" s="24" t="n">
        <f aca="false">IF(K7="não",M7*($C$22+$D$22),M7*(C$22+D$22+E$22))</f>
        <v>706.0185</v>
      </c>
      <c r="V7" s="24" t="n">
        <f aca="false">VLOOKUP(Q7,'Desl. Base Cascavel'!$C$5:$S$16,13,FALSE())*($C$22+$D$22+$E$22*(VLOOKUP(Q7,'Desl. Base Cascavel'!$C$5:$S$16,17,FALSE())/12))</f>
        <v>119.60575</v>
      </c>
      <c r="W7" s="24" t="n">
        <f aca="false">VLOOKUP(Q7,'Desl. Base Cascavel'!$C$5:$S$16,15,FALSE())*(2+(VLOOKUP(Q7,'Desl. Base Cascavel'!$C$5:$S$16,17,FALSE())/12))</f>
        <v>0</v>
      </c>
      <c r="X7" s="24" t="n">
        <f aca="false">VLOOKUP(Q7,'Desl. Base Cascavel'!$C$5:$Q$16,14,FALSE())</f>
        <v>0</v>
      </c>
      <c r="Y7" s="24" t="n">
        <f aca="false">VLOOKUP(Q7,'Desl. Base Cascavel'!$C$5:Q$16,13,FALSE())*'Desl. Base Cascavel'!$E$21+'Desl. Base Cascavel'!$E$22*N7/12</f>
        <v>130.389875</v>
      </c>
      <c r="Z7" s="24" t="n">
        <f aca="false">(H7/$AC$5)*'Equipe Técnica'!$C$13</f>
        <v>239.596991886008</v>
      </c>
      <c r="AA7" s="24" t="n">
        <f aca="false">(I7/$AC$5)*'Equipe Técnica'!$C$13</f>
        <v>287.51639026321</v>
      </c>
      <c r="AB7" s="24" t="n">
        <f aca="false">(L7/$AC$5)*'Equipe Técnica'!$C$13</f>
        <v>583.01934692262</v>
      </c>
      <c r="AC7" s="24" t="n">
        <f aca="false">(M7/$AC$5)*'Equipe Técnica'!$C$13</f>
        <v>1221.94465861864</v>
      </c>
      <c r="AD7" s="24" t="n">
        <f aca="false">R7+(($V7+$W7+$X7+$Y7)*12/19)+$Z7</f>
        <v>481.158965570219</v>
      </c>
      <c r="AE7" s="24" t="n">
        <f aca="false">S7+(($V7+$W7+$X7+$Y7)*12/19)+$AA7</f>
        <v>545.81236394742</v>
      </c>
      <c r="AF7" s="24" t="n">
        <f aca="false">T7+(($V7+$W7+$X7+$Y7)*12/19)+$AB7</f>
        <v>944.508320606831</v>
      </c>
      <c r="AG7" s="24" t="n">
        <f aca="false">U7+(($V7+$W7+$X7+$Y7)*12/19)+$AC7</f>
        <v>2085.85513230285</v>
      </c>
      <c r="AH7" s="132"/>
      <c r="AI7" s="22" t="str">
        <f aca="false">B7</f>
        <v>APS GOIOERÊ</v>
      </c>
      <c r="AJ7" s="67" t="n">
        <f aca="false">VLOOKUP(AI7,Unidades!D$5:H$29,5,)</f>
        <v>0.2835</v>
      </c>
      <c r="AK7" s="46" t="n">
        <f aca="false">AD7*(1+$AJ7)</f>
        <v>617.567532309376</v>
      </c>
      <c r="AL7" s="46" t="n">
        <f aca="false">AE7*(1+$AJ7)</f>
        <v>700.550169126514</v>
      </c>
      <c r="AM7" s="46" t="n">
        <f aca="false">AF7*(1+$AJ7)</f>
        <v>1212.27642949887</v>
      </c>
      <c r="AN7" s="46" t="n">
        <f aca="false">AG7*(1+$AJ7)</f>
        <v>2677.19506231071</v>
      </c>
      <c r="AO7" s="46" t="n">
        <f aca="false">((AK7*12)+(AL7*4)+(AM7*2)+AN7)/12</f>
        <v>1276.22991546058</v>
      </c>
      <c r="AP7" s="46" t="n">
        <f aca="false">AO7*3</f>
        <v>3828.68974638175</v>
      </c>
      <c r="AQ7" s="46" t="n">
        <f aca="false">AO7+AP7</f>
        <v>5104.91966184234</v>
      </c>
      <c r="AR7" s="68"/>
      <c r="AS7" s="69" t="s">
        <v>82</v>
      </c>
      <c r="AT7" s="46" t="n">
        <f aca="false">AK19</f>
        <v>8567.1030380641</v>
      </c>
      <c r="AU7" s="46" t="n">
        <f aca="false">AL19</f>
        <v>9797.91409319745</v>
      </c>
      <c r="AV7" s="46" t="n">
        <f aca="false">AM19</f>
        <v>11979.8024998188</v>
      </c>
      <c r="AW7" s="46" t="n">
        <f aca="false">AN19</f>
        <v>18089.0040869945</v>
      </c>
    </row>
    <row r="8" customFormat="false" ht="15" hidden="false" customHeight="true" outlineLevel="0" collapsed="false">
      <c r="B8" s="62" t="s">
        <v>140</v>
      </c>
      <c r="C8" s="63" t="n">
        <f aca="false">VLOOKUP($B8,Unidades!$D$5:$N$29,6,FALSE())</f>
        <v>1200</v>
      </c>
      <c r="D8" s="63" t="n">
        <f aca="false">VLOOKUP($B8,Unidades!$D$5:$N$29,7,FALSE())</f>
        <v>0</v>
      </c>
      <c r="E8" s="63" t="n">
        <f aca="false">VLOOKUP($B8,Unidades!$D$5:$N$29,8,FALSE())</f>
        <v>0</v>
      </c>
      <c r="F8" s="63" t="n">
        <f aca="false">VLOOKUP($B8,Unidades!$D$5:$N$29,9,FALSE())</f>
        <v>0</v>
      </c>
      <c r="G8" s="63" t="n">
        <f aca="false">D8+$E$6*E8+$F$6*F8</f>
        <v>0</v>
      </c>
      <c r="H8" s="64" t="n">
        <f aca="false">IF(G8&lt;750,1.5,IF(G8&lt;2000,2,3))</f>
        <v>1.5</v>
      </c>
      <c r="I8" s="64" t="n">
        <f aca="false">$I$6*H8</f>
        <v>1.8</v>
      </c>
      <c r="J8" s="64" t="str">
        <f aca="false">VLOOKUP($B8,Unidades!$D$5:$N$29,10,FALSE())</f>
        <v>SIM</v>
      </c>
      <c r="K8" s="64" t="str">
        <f aca="false">VLOOKUP($B8,Unidades!$D$5:$N$29,11,FALSE())</f>
        <v>NÃO</v>
      </c>
      <c r="L8" s="64" t="n">
        <f aca="false">$L$6*H8+(IF(J8="SIM",$J$6,0))</f>
        <v>3.65</v>
      </c>
      <c r="M8" s="64" t="n">
        <f aca="false">$M$6*H8+(IF(J8="SIM",$J$6,0))+(IF(K8="SIM",$K$6,0))</f>
        <v>3.65</v>
      </c>
      <c r="N8" s="64" t="n">
        <f aca="false">H8*12+I8*4+L8*2+M8</f>
        <v>36.15</v>
      </c>
      <c r="O8" s="65" t="n">
        <f aca="false">IF(K8="não", N8*(C$22+D$22),N8*(C$22+D$22)+(M8*+E$22))</f>
        <v>2016.447</v>
      </c>
      <c r="P8" s="66"/>
      <c r="Q8" s="22" t="str">
        <f aca="false">B8</f>
        <v>GEX CASCAVEL</v>
      </c>
      <c r="R8" s="24" t="n">
        <f aca="false">H8*($C$22+$D$22)</f>
        <v>83.67</v>
      </c>
      <c r="S8" s="24" t="n">
        <f aca="false">I8*($C$22+$D$22)</f>
        <v>100.404</v>
      </c>
      <c r="T8" s="24" t="n">
        <f aca="false">L8*($C$22+$D$22)</f>
        <v>203.597</v>
      </c>
      <c r="U8" s="24" t="n">
        <f aca="false">IF(K8="não",M8*($C$22+$D$22),M8*(C$22+D$22+E$22))</f>
        <v>203.597</v>
      </c>
      <c r="V8" s="24" t="n">
        <f aca="false">VLOOKUP(Q8,'Desl. Base Cascavel'!$C$5:$S$16,13,FALSE())*($C$22+$D$22+$E$22*(VLOOKUP(Q8,'Desl. Base Cascavel'!$C$5:$S$16,17,FALSE())/12))</f>
        <v>0</v>
      </c>
      <c r="W8" s="24" t="n">
        <f aca="false">VLOOKUP(Q8,'Desl. Base Cascavel'!$C$5:$S$16,15,FALSE())*(2+(VLOOKUP(Q8,'Desl. Base Cascavel'!$C$5:$S$16,17,FALSE())/12))</f>
        <v>0</v>
      </c>
      <c r="X8" s="24" t="n">
        <f aca="false">VLOOKUP(Q8,'Desl. Base Cascavel'!$C$5:$Q$16,14,FALSE())</f>
        <v>0</v>
      </c>
      <c r="Y8" s="24" t="n">
        <f aca="false">VLOOKUP(Q8,'Desl. Base Cascavel'!$C$5:Q$16,13,FALSE())*'Desl. Base Cascavel'!$E$21+'Desl. Base Cascavel'!$E$22*N8/12</f>
        <v>20.936875</v>
      </c>
      <c r="Z8" s="24" t="n">
        <f aca="false">(H8/$AC$5)*'Equipe Técnica'!$C$13</f>
        <v>239.596991886008</v>
      </c>
      <c r="AA8" s="24" t="n">
        <f aca="false">(I8/$AC$5)*'Equipe Técnica'!$C$13</f>
        <v>287.51639026321</v>
      </c>
      <c r="AB8" s="24" t="n">
        <f aca="false">(L8/$AC$5)*'Equipe Técnica'!$C$13</f>
        <v>583.01934692262</v>
      </c>
      <c r="AC8" s="24" t="n">
        <f aca="false">(M8/$AC$5)*'Equipe Técnica'!$C$13</f>
        <v>583.01934692262</v>
      </c>
      <c r="AD8" s="24" t="n">
        <f aca="false">R8+(($V8+$W8+$X8+$Y8)*12/19)+$Z8</f>
        <v>336.490281359693</v>
      </c>
      <c r="AE8" s="24" t="n">
        <f aca="false">S8+(($V8+$W8+$X8+$Y8)*12/19)+$AA8</f>
        <v>401.143679736894</v>
      </c>
      <c r="AF8" s="24" t="n">
        <f aca="false">T8+(($V8+$W8+$X8+$Y8)*12/19)+$AB8</f>
        <v>799.839636396305</v>
      </c>
      <c r="AG8" s="24" t="n">
        <f aca="false">U8+(($V8+$W8+$X8+$Y8)*12/19)+$AC8</f>
        <v>799.839636396305</v>
      </c>
      <c r="AH8" s="132"/>
      <c r="AI8" s="22" t="str">
        <f aca="false">B8</f>
        <v>GEX CASCAVEL</v>
      </c>
      <c r="AJ8" s="67" t="n">
        <f aca="false">VLOOKUP(AI8,Unidades!D$5:H$29,5,)</f>
        <v>0.2979</v>
      </c>
      <c r="AK8" s="46" t="n">
        <f aca="false">AD8*(1+$AJ8)</f>
        <v>436.730736176745</v>
      </c>
      <c r="AL8" s="46" t="n">
        <f aca="false">AE8*(1+$AJ8)</f>
        <v>520.644381930515</v>
      </c>
      <c r="AM8" s="46" t="n">
        <f aca="false">AF8*(1+$AJ8)</f>
        <v>1038.11186407876</v>
      </c>
      <c r="AN8" s="46" t="n">
        <f aca="false">AG8*(1+$AJ8)</f>
        <v>1038.11186407876</v>
      </c>
      <c r="AO8" s="46" t="n">
        <f aca="false">((AK8*12)+(AL8*4)+(AM8*2)+AN8)/12</f>
        <v>869.806829506607</v>
      </c>
      <c r="AP8" s="46" t="n">
        <f aca="false">AO8*3</f>
        <v>2609.42048851982</v>
      </c>
      <c r="AQ8" s="46" t="n">
        <f aca="false">AO8+AP8</f>
        <v>3479.22731802643</v>
      </c>
      <c r="AR8" s="68"/>
      <c r="AS8" s="69" t="s">
        <v>84</v>
      </c>
      <c r="AT8" s="46" t="n">
        <f aca="false">AT7*12</f>
        <v>102805.236456769</v>
      </c>
      <c r="AU8" s="46" t="n">
        <f aca="false">AU7*4</f>
        <v>39191.6563727898</v>
      </c>
      <c r="AV8" s="46" t="n">
        <f aca="false">AV7*2</f>
        <v>23959.6049996376</v>
      </c>
      <c r="AW8" s="46" t="n">
        <f aca="false">AW7</f>
        <v>18089.0040869945</v>
      </c>
    </row>
    <row r="9" customFormat="false" ht="15" hidden="false" customHeight="true" outlineLevel="0" collapsed="false">
      <c r="B9" s="62" t="s">
        <v>141</v>
      </c>
      <c r="C9" s="63" t="n">
        <f aca="false">VLOOKUP($B9,Unidades!$D$5:$N$29,6,FALSE())</f>
        <v>3298.13</v>
      </c>
      <c r="D9" s="63" t="n">
        <f aca="false">VLOOKUP($B9,Unidades!$D$5:$N$29,7,FALSE())</f>
        <v>1621.17</v>
      </c>
      <c r="E9" s="63" t="n">
        <f aca="false">VLOOKUP($B9,Unidades!$D$5:$N$29,8,FALSE())</f>
        <v>1676.96</v>
      </c>
      <c r="F9" s="63" t="n">
        <f aca="false">VLOOKUP($B9,Unidades!$D$5:$N$29,9,FALSE())</f>
        <v>0</v>
      </c>
      <c r="G9" s="63" t="n">
        <f aca="false">D9+$E$6*E9+$F$6*F9</f>
        <v>2208.106</v>
      </c>
      <c r="H9" s="64" t="n">
        <f aca="false">IF(G9&lt;750,1.5,IF(G9&lt;2000,2,3))</f>
        <v>3</v>
      </c>
      <c r="I9" s="64" t="n">
        <f aca="false">$I$6*H9</f>
        <v>3.6</v>
      </c>
      <c r="J9" s="64" t="str">
        <f aca="false">VLOOKUP($B9,Unidades!$D$5:$N$29,10,FALSE())</f>
        <v>SIM</v>
      </c>
      <c r="K9" s="64" t="str">
        <f aca="false">VLOOKUP($B9,Unidades!$D$5:$N$29,11,FALSE())</f>
        <v>SIM</v>
      </c>
      <c r="L9" s="64" t="n">
        <f aca="false">$L$6*H9+(IF(J9="SIM",$J$6,0))</f>
        <v>5.3</v>
      </c>
      <c r="M9" s="64" t="n">
        <f aca="false">$M$6*H9+(IF(J9="SIM",$J$6,0))+(IF(K9="SIM",$K$6,0))</f>
        <v>9.3</v>
      </c>
      <c r="N9" s="64" t="n">
        <f aca="false">H9*12+I9*4+L9*2+M9</f>
        <v>70.3</v>
      </c>
      <c r="O9" s="65" t="n">
        <f aca="false">IF(K9="não", N9*(C$22+D$22),N9*(C$22+D$22)+(M9*+E$22))</f>
        <v>4260.877</v>
      </c>
      <c r="P9" s="66"/>
      <c r="Q9" s="22" t="str">
        <f aca="false">B9</f>
        <v>APS CASCAVEL</v>
      </c>
      <c r="R9" s="24" t="n">
        <f aca="false">H9*($C$22+$D$22)</f>
        <v>167.34</v>
      </c>
      <c r="S9" s="24" t="n">
        <f aca="false">I9*($C$22+$D$22)</f>
        <v>200.808</v>
      </c>
      <c r="T9" s="24" t="n">
        <f aca="false">L9*($C$22+$D$22)</f>
        <v>295.634</v>
      </c>
      <c r="U9" s="24" t="n">
        <f aca="false">IF(K9="não",M9*($C$22+$D$22),M9*(C$22+D$22+E$22))</f>
        <v>858.297</v>
      </c>
      <c r="V9" s="24" t="n">
        <f aca="false">VLOOKUP(Q9,'Desl. Base Cascavel'!$C$5:$S$16,13,FALSE())*($C$22+$D$22+$E$22*(VLOOKUP(Q9,'Desl. Base Cascavel'!$C$5:$S$16,17,FALSE())/12))</f>
        <v>155.879625</v>
      </c>
      <c r="W9" s="24" t="n">
        <f aca="false">VLOOKUP(Q9,'Desl. Base Cascavel'!$C$5:$S$16,15,FALSE())*(2+(VLOOKUP(Q9,'Desl. Base Cascavel'!$C$5:$S$16,17,FALSE())/12))</f>
        <v>0</v>
      </c>
      <c r="X9" s="24" t="n">
        <f aca="false">VLOOKUP(Q9,'Desl. Base Cascavel'!$C$5:$Q$16,14,FALSE())</f>
        <v>0</v>
      </c>
      <c r="Y9" s="24" t="n">
        <f aca="false">VLOOKUP(Q9,'Desl. Base Cascavel'!$C$5:Q$16,13,FALSE())*'Desl. Base Cascavel'!$E$21+'Desl. Base Cascavel'!$E$22*N9/12</f>
        <v>180.343916666667</v>
      </c>
      <c r="Z9" s="24" t="n">
        <f aca="false">(H9/$AC$5)*'Equipe Técnica'!$C$13</f>
        <v>479.193983772017</v>
      </c>
      <c r="AA9" s="24" t="n">
        <f aca="false">(I9/$AC$5)*'Equipe Técnica'!$C$13</f>
        <v>575.03278052642</v>
      </c>
      <c r="AB9" s="24" t="n">
        <f aca="false">(L9/$AC$5)*'Equipe Técnica'!$C$13</f>
        <v>846.576037997229</v>
      </c>
      <c r="AC9" s="24" t="n">
        <f aca="false">(M9/$AC$5)*'Equipe Técnica'!$C$13</f>
        <v>1485.50134969325</v>
      </c>
      <c r="AD9" s="24" t="n">
        <f aca="false">R9+(($V9+$W9+$X9+$Y9)*12/19)+$Z9</f>
        <v>858.885694298333</v>
      </c>
      <c r="AE9" s="24" t="n">
        <f aca="false">S9+(($V9+$W9+$X9+$Y9)*12/19)+$AA9</f>
        <v>988.192491052736</v>
      </c>
      <c r="AF9" s="24" t="n">
        <f aca="false">T9+(($V9+$W9+$X9+$Y9)*12/19)+$AB9</f>
        <v>1354.56174852355</v>
      </c>
      <c r="AG9" s="24" t="n">
        <f aca="false">U9+(($V9+$W9+$X9+$Y9)*12/19)+$AC9</f>
        <v>2556.15006021957</v>
      </c>
      <c r="AH9" s="132"/>
      <c r="AI9" s="22" t="str">
        <f aca="false">B9</f>
        <v>APS CASCAVEL</v>
      </c>
      <c r="AJ9" s="67" t="n">
        <f aca="false">VLOOKUP(AI9,Unidades!D$5:H$29,5,)</f>
        <v>0.2979</v>
      </c>
      <c r="AK9" s="46" t="n">
        <f aca="false">AD9*(1+$AJ9)</f>
        <v>1114.74774262981</v>
      </c>
      <c r="AL9" s="46" t="n">
        <f aca="false">AE9*(1+$AJ9)</f>
        <v>1282.57503413735</v>
      </c>
      <c r="AM9" s="46" t="n">
        <f aca="false">AF9*(1+$AJ9)</f>
        <v>1758.08569340871</v>
      </c>
      <c r="AN9" s="46" t="n">
        <f aca="false">AG9*(1+$AJ9)</f>
        <v>3317.62716315898</v>
      </c>
      <c r="AO9" s="46" t="n">
        <f aca="false">((AK9*12)+(AL9*4)+(AM9*2)+AN9)/12</f>
        <v>2111.75596650695</v>
      </c>
      <c r="AP9" s="46" t="n">
        <f aca="false">AO9*3</f>
        <v>6335.26789952086</v>
      </c>
      <c r="AQ9" s="46" t="n">
        <f aca="false">AO9+AP9</f>
        <v>8447.02386602782</v>
      </c>
      <c r="AR9" s="68"/>
      <c r="AS9" s="68"/>
      <c r="AT9" s="70"/>
      <c r="AU9" s="70"/>
      <c r="AV9" s="70"/>
      <c r="AW9" s="70"/>
    </row>
    <row r="10" customFormat="false" ht="15" hidden="false" customHeight="true" outlineLevel="0" collapsed="false">
      <c r="B10" s="62" t="s">
        <v>142</v>
      </c>
      <c r="C10" s="63" t="n">
        <f aca="false">VLOOKUP($B10,Unidades!$D$5:$N$29,6,FALSE())</f>
        <v>2005</v>
      </c>
      <c r="D10" s="63" t="n">
        <f aca="false">VLOOKUP($B10,Unidades!$D$5:$N$29,7,FALSE())</f>
        <v>1554.31</v>
      </c>
      <c r="E10" s="63" t="n">
        <f aca="false">VLOOKUP($B10,Unidades!$D$5:$N$29,8,FALSE())</f>
        <v>450.69</v>
      </c>
      <c r="F10" s="63" t="n">
        <f aca="false">VLOOKUP($B10,Unidades!$D$5:$N$29,9,FALSE())</f>
        <v>0</v>
      </c>
      <c r="G10" s="63" t="n">
        <f aca="false">D10+$E$6*E10+$F$6*F10</f>
        <v>1712.0515</v>
      </c>
      <c r="H10" s="64" t="n">
        <f aca="false">IF(G10&lt;750,1.5,IF(G10&lt;2000,2,3))</f>
        <v>2</v>
      </c>
      <c r="I10" s="64" t="n">
        <f aca="false">$I$6*H10</f>
        <v>2.4</v>
      </c>
      <c r="J10" s="64" t="str">
        <f aca="false">VLOOKUP($B10,Unidades!$D$5:$N$29,10,FALSE())</f>
        <v>SIM</v>
      </c>
      <c r="K10" s="64" t="str">
        <f aca="false">VLOOKUP($B10,Unidades!$D$5:$N$29,11,FALSE())</f>
        <v>SIM</v>
      </c>
      <c r="L10" s="64" t="n">
        <f aca="false">$L$6*H10+(IF(J10="SIM",$J$6,0))</f>
        <v>4.2</v>
      </c>
      <c r="M10" s="64" t="n">
        <f aca="false">$M$6*H10+(IF(J10="SIM",$J$6,0))+(IF(K10="SIM",$K$6,0))</f>
        <v>8.2</v>
      </c>
      <c r="N10" s="64" t="n">
        <f aca="false">H10*12+I10*4+L10*2+M10</f>
        <v>50.2</v>
      </c>
      <c r="O10" s="65" t="n">
        <f aca="false">IF(K10="não", N10*(C$22+D$22),N10*(C$22+D$22)+(M10*+E$22))</f>
        <v>3099.538</v>
      </c>
      <c r="P10" s="66"/>
      <c r="Q10" s="22" t="str">
        <f aca="false">B10</f>
        <v>APS TOLEDO</v>
      </c>
      <c r="R10" s="24" t="n">
        <f aca="false">H10*($C$22+$D$22)</f>
        <v>111.56</v>
      </c>
      <c r="S10" s="24" t="n">
        <f aca="false">I10*($C$22+$D$22)</f>
        <v>133.872</v>
      </c>
      <c r="T10" s="24" t="n">
        <f aca="false">L10*($C$22+$D$22)</f>
        <v>234.276</v>
      </c>
      <c r="U10" s="24" t="n">
        <f aca="false">IF(K10="não",M10*($C$22+$D$22),M10*(C$22+D$22+E$22))</f>
        <v>756.778</v>
      </c>
      <c r="V10" s="24" t="n">
        <f aca="false">VLOOKUP(Q10,'Desl. Base Cascavel'!$C$5:$S$16,13,FALSE())*($C$22+$D$22+$E$22*(VLOOKUP(Q10,'Desl. Base Cascavel'!$C$5:$S$16,17,FALSE())/12))</f>
        <v>75.9790625</v>
      </c>
      <c r="W10" s="24" t="n">
        <f aca="false">VLOOKUP(Q10,'Desl. Base Cascavel'!$C$5:$S$16,15,FALSE())*(2+(VLOOKUP(Q10,'Desl. Base Cascavel'!$C$5:$S$16,17,FALSE())/12))</f>
        <v>0</v>
      </c>
      <c r="X10" s="24" t="n">
        <f aca="false">VLOOKUP(Q10,'Desl. Base Cascavel'!$C$5:$Q$16,14,FALSE())</f>
        <v>0</v>
      </c>
      <c r="Y10" s="24" t="n">
        <f aca="false">VLOOKUP(Q10,'Desl. Base Cascavel'!$C$5:Q$16,13,FALSE())*'Desl. Base Cascavel'!$E$21+'Desl. Base Cascavel'!$E$22*N10/12</f>
        <v>97.1320833333333</v>
      </c>
      <c r="Z10" s="24" t="n">
        <f aca="false">(H10/$AC$5)*'Equipe Técnica'!$C$13</f>
        <v>319.462655848011</v>
      </c>
      <c r="AA10" s="24" t="n">
        <f aca="false">(I10/$AC$5)*'Equipe Técnica'!$C$13</f>
        <v>383.355187017613</v>
      </c>
      <c r="AB10" s="24" t="n">
        <f aca="false">(L10/$AC$5)*'Equipe Técnica'!$C$13</f>
        <v>670.871577280823</v>
      </c>
      <c r="AC10" s="24" t="n">
        <f aca="false">(M10/$AC$5)*'Equipe Técnica'!$C$13</f>
        <v>1309.79688897685</v>
      </c>
      <c r="AD10" s="24" t="n">
        <f aca="false">R10+(($V10+$W10+$X10+$Y10)*12/19)+$Z10</f>
        <v>540.356011111169</v>
      </c>
      <c r="AE10" s="24" t="n">
        <f aca="false">S10+(($V10+$W10+$X10+$Y10)*12/19)+$AA10</f>
        <v>626.560542280771</v>
      </c>
      <c r="AF10" s="24" t="n">
        <f aca="false">T10+(($V10+$W10+$X10+$Y10)*12/19)+$AB10</f>
        <v>1014.48093254398</v>
      </c>
      <c r="AG10" s="24" t="n">
        <f aca="false">U10+(($V10+$W10+$X10+$Y10)*12/19)+$AC10</f>
        <v>2175.90824424</v>
      </c>
      <c r="AH10" s="132"/>
      <c r="AI10" s="22" t="str">
        <f aca="false">B10</f>
        <v>APS TOLEDO</v>
      </c>
      <c r="AJ10" s="67" t="n">
        <f aca="false">VLOOKUP(AI10,Unidades!D$5:H$29,5,)</f>
        <v>0.2979</v>
      </c>
      <c r="AK10" s="46" t="n">
        <f aca="false">AD10*(1+$AJ10)</f>
        <v>701.328066821186</v>
      </c>
      <c r="AL10" s="46" t="n">
        <f aca="false">AE10*(1+$AJ10)</f>
        <v>813.212927826213</v>
      </c>
      <c r="AM10" s="46" t="n">
        <f aca="false">AF10*(1+$AJ10)</f>
        <v>1316.69480234883</v>
      </c>
      <c r="AN10" s="46" t="n">
        <f aca="false">AG10*(1+$AJ10)</f>
        <v>2824.1113101991</v>
      </c>
      <c r="AO10" s="46" t="n">
        <f aca="false">((AK10*12)+(AL10*4)+(AM10*2)+AN10)/12</f>
        <v>1427.19078567132</v>
      </c>
      <c r="AP10" s="46" t="n">
        <f aca="false">AO10*3</f>
        <v>4281.57235701396</v>
      </c>
      <c r="AQ10" s="46" t="n">
        <f aca="false">AO10+AP10</f>
        <v>5708.76314268528</v>
      </c>
      <c r="AR10" s="68"/>
      <c r="AS10" s="71" t="s">
        <v>72</v>
      </c>
      <c r="AT10" s="46" t="n">
        <f aca="false">(SUM(AT8:AW8))/12</f>
        <v>15337.1251596826</v>
      </c>
      <c r="AU10" s="46"/>
      <c r="AV10" s="70"/>
      <c r="AW10" s="70"/>
    </row>
    <row r="11" customFormat="false" ht="15" hidden="false" customHeight="true" outlineLevel="0" collapsed="false">
      <c r="B11" s="62" t="s">
        <v>143</v>
      </c>
      <c r="C11" s="63" t="n">
        <f aca="false">VLOOKUP($B11,Unidades!$D$5:$N$29,6,FALSE())</f>
        <v>785.22</v>
      </c>
      <c r="D11" s="63" t="n">
        <f aca="false">VLOOKUP($B11,Unidades!$D$5:$N$29,7,FALSE())</f>
        <v>551.75</v>
      </c>
      <c r="E11" s="63" t="n">
        <f aca="false">VLOOKUP($B11,Unidades!$D$5:$N$29,8,FALSE())</f>
        <v>233.47</v>
      </c>
      <c r="F11" s="63" t="n">
        <f aca="false">VLOOKUP($B11,Unidades!$D$5:$N$29,9,FALSE())</f>
        <v>0</v>
      </c>
      <c r="G11" s="63" t="n">
        <f aca="false">D11+$E$6*E11+$F$6*F11</f>
        <v>633.4645</v>
      </c>
      <c r="H11" s="64" t="n">
        <f aca="false">IF(G11&lt;750,1.5,IF(G11&lt;2000,2,3))</f>
        <v>1.5</v>
      </c>
      <c r="I11" s="64" t="n">
        <f aca="false">$I$6*H11</f>
        <v>1.8</v>
      </c>
      <c r="J11" s="64" t="str">
        <f aca="false">VLOOKUP($B11,Unidades!$D$5:$N$29,10,FALSE())</f>
        <v>NÃO</v>
      </c>
      <c r="K11" s="64" t="str">
        <f aca="false">VLOOKUP($B11,Unidades!$D$5:$N$29,11,FALSE())</f>
        <v>NÃO</v>
      </c>
      <c r="L11" s="64" t="n">
        <f aca="false">$L$6*H11+(IF(J11="SIM",$J$6,0))</f>
        <v>1.65</v>
      </c>
      <c r="M11" s="64" t="n">
        <f aca="false">$M$6*H11+(IF(J11="SIM",$J$6,0))+(IF(K11="SIM",$K$6,0))</f>
        <v>1.65</v>
      </c>
      <c r="N11" s="64" t="n">
        <f aca="false">H11*12+I11*4+L11*2+M11</f>
        <v>30.15</v>
      </c>
      <c r="O11" s="65" t="n">
        <f aca="false">IF(K11="não", N11*(C$22+D$22),N11*(C$22+D$22)+(M11*+E$22))</f>
        <v>1681.767</v>
      </c>
      <c r="P11" s="66"/>
      <c r="Q11" s="22" t="str">
        <f aca="false">B11</f>
        <v>APS MARECHAL CÂNDIDO RONDON</v>
      </c>
      <c r="R11" s="24" t="n">
        <f aca="false">H11*($C$22+$D$22)</f>
        <v>83.67</v>
      </c>
      <c r="S11" s="24" t="n">
        <f aca="false">I11*($C$22+$D$22)</f>
        <v>100.404</v>
      </c>
      <c r="T11" s="24" t="n">
        <f aca="false">L11*($C$22+$D$22)</f>
        <v>92.037</v>
      </c>
      <c r="U11" s="24" t="n">
        <f aca="false">IF(K11="não",M11*($C$22+$D$22),M11*(C$22+D$22+E$22))</f>
        <v>92.037</v>
      </c>
      <c r="V11" s="24" t="n">
        <f aca="false">VLOOKUP(Q11,'Desl. Base Cascavel'!$C$5:$S$16,13,FALSE())*($C$22+$D$22+$E$22*(VLOOKUP(Q11,'Desl. Base Cascavel'!$C$5:$S$16,17,FALSE())/12))</f>
        <v>75.9790625</v>
      </c>
      <c r="W11" s="24" t="n">
        <f aca="false">VLOOKUP(Q11,'Desl. Base Cascavel'!$C$5:$S$16,15,FALSE())*(2+(VLOOKUP(Q11,'Desl. Base Cascavel'!$C$5:$S$16,17,FALSE())/12))</f>
        <v>0</v>
      </c>
      <c r="X11" s="24" t="n">
        <f aca="false">VLOOKUP(Q11,'Desl. Base Cascavel'!$C$5:$Q$16,14,FALSE())</f>
        <v>0</v>
      </c>
      <c r="Y11" s="24" t="n">
        <f aca="false">VLOOKUP(Q11,'Desl. Base Cascavel'!$C$5:Q$16,13,FALSE())*'Desl. Base Cascavel'!$E$21+'Desl. Base Cascavel'!$E$22*N11/12</f>
        <v>85.5197916666667</v>
      </c>
      <c r="Z11" s="24" t="n">
        <f aca="false">(H11/$AC$5)*'Equipe Técnica'!$C$13</f>
        <v>239.596991886008</v>
      </c>
      <c r="AA11" s="24" t="n">
        <f aca="false">(I11/$AC$5)*'Equipe Técnica'!$C$13</f>
        <v>287.51639026321</v>
      </c>
      <c r="AB11" s="24" t="n">
        <f aca="false">(L11/$AC$5)*'Equipe Técnica'!$C$13</f>
        <v>263.556691074609</v>
      </c>
      <c r="AC11" s="24" t="n">
        <f aca="false">(M11/$AC$5)*'Equipe Técnica'!$C$13</f>
        <v>263.556691074609</v>
      </c>
      <c r="AD11" s="24" t="n">
        <f aca="false">R11+(($V11+$W11+$X11+$Y11)*12/19)+$Z11</f>
        <v>425.266268201798</v>
      </c>
      <c r="AE11" s="24" t="n">
        <f aca="false">S11+(($V11+$W11+$X11+$Y11)*12/19)+$AA11</f>
        <v>489.919666578999</v>
      </c>
      <c r="AF11" s="24" t="n">
        <f aca="false">T11+(($V11+$W11+$X11+$Y11)*12/19)+$AB11</f>
        <v>457.592967390399</v>
      </c>
      <c r="AG11" s="24" t="n">
        <f aca="false">U11+(($V11+$W11+$X11+$Y11)*12/19)+$AC11</f>
        <v>457.592967390399</v>
      </c>
      <c r="AH11" s="132"/>
      <c r="AI11" s="22" t="str">
        <f aca="false">B11</f>
        <v>APS MARECHAL CÂNDIDO RONDON</v>
      </c>
      <c r="AJ11" s="67" t="n">
        <f aca="false">VLOOKUP(AI11,Unidades!D$5:H$29,5,)</f>
        <v>0.2835</v>
      </c>
      <c r="AK11" s="46" t="n">
        <f aca="false">AD11*(1+$AJ11)</f>
        <v>545.829255237008</v>
      </c>
      <c r="AL11" s="46" t="n">
        <f aca="false">AE11*(1+$AJ11)</f>
        <v>628.811892054146</v>
      </c>
      <c r="AM11" s="46" t="n">
        <f aca="false">AF11*(1+$AJ11)</f>
        <v>587.320573645577</v>
      </c>
      <c r="AN11" s="46" t="n">
        <f aca="false">AG11*(1+$AJ11)</f>
        <v>587.320573645577</v>
      </c>
      <c r="AO11" s="46" t="n">
        <f aca="false">((AK11*12)+(AL11*4)+(AM11*2)+AN11)/12</f>
        <v>902.26336266645</v>
      </c>
      <c r="AP11" s="46" t="n">
        <f aca="false">AO11*3</f>
        <v>2706.79008799935</v>
      </c>
      <c r="AQ11" s="46" t="n">
        <f aca="false">AO11+AP11</f>
        <v>3609.0534506658</v>
      </c>
      <c r="AR11" s="68"/>
      <c r="AS11" s="71" t="s">
        <v>88</v>
      </c>
      <c r="AT11" s="46" t="n">
        <f aca="false">AT10*12</f>
        <v>184045.501916191</v>
      </c>
      <c r="AU11" s="46"/>
      <c r="AV11" s="70"/>
      <c r="AW11" s="70"/>
    </row>
    <row r="12" customFormat="false" ht="15" hidden="false" customHeight="true" outlineLevel="0" collapsed="false">
      <c r="B12" s="62" t="s">
        <v>144</v>
      </c>
      <c r="C12" s="63" t="n">
        <f aca="false">VLOOKUP($B12,Unidades!$D$5:$N$29,6,FALSE())</f>
        <v>525</v>
      </c>
      <c r="D12" s="63" t="n">
        <f aca="false">VLOOKUP($B12,Unidades!$D$5:$N$29,7,FALSE())</f>
        <v>423.47</v>
      </c>
      <c r="E12" s="63" t="n">
        <f aca="false">VLOOKUP($B12,Unidades!$D$5:$N$29,8,FALSE())</f>
        <v>101.53</v>
      </c>
      <c r="F12" s="63" t="n">
        <f aca="false">VLOOKUP($B12,Unidades!$D$5:$N$29,9,FALSE())</f>
        <v>0</v>
      </c>
      <c r="G12" s="63" t="n">
        <f aca="false">D12+$E$6*E12+$F$6*F12</f>
        <v>459.0055</v>
      </c>
      <c r="H12" s="64" t="n">
        <f aca="false">IF(G12&lt;750,1.5,IF(G12&lt;2000,2,3))</f>
        <v>1.5</v>
      </c>
      <c r="I12" s="64" t="n">
        <f aca="false">$I$6*H12</f>
        <v>1.8</v>
      </c>
      <c r="J12" s="64" t="str">
        <f aca="false">VLOOKUP($B12,Unidades!$D$5:$N$29,10,FALSE())</f>
        <v>NÃO</v>
      </c>
      <c r="K12" s="64" t="str">
        <f aca="false">VLOOKUP($B12,Unidades!$D$5:$N$29,11,FALSE())</f>
        <v>NÃO</v>
      </c>
      <c r="L12" s="64" t="n">
        <f aca="false">$L$6*H12+(IF(J12="SIM",$J$6,0))</f>
        <v>1.65</v>
      </c>
      <c r="M12" s="64" t="n">
        <f aca="false">$M$6*H12+(IF(J12="SIM",$J$6,0))+(IF(K12="SIM",$K$6,0))</f>
        <v>1.65</v>
      </c>
      <c r="N12" s="64" t="n">
        <f aca="false">H12*12+I12*4+L12*2+M12</f>
        <v>30.15</v>
      </c>
      <c r="O12" s="65" t="n">
        <f aca="false">IF(K12="não", N12*(C$22+D$22),N12*(C$22+D$22)+(M12*+E$22))</f>
        <v>1681.767</v>
      </c>
      <c r="P12" s="66"/>
      <c r="Q12" s="22" t="str">
        <f aca="false">B12</f>
        <v>APS ASSIS CHATEAUBRIAND</v>
      </c>
      <c r="R12" s="24" t="n">
        <f aca="false">H12*($C$22+$D$22)</f>
        <v>83.67</v>
      </c>
      <c r="S12" s="24" t="n">
        <f aca="false">I12*($C$22+$D$22)</f>
        <v>100.404</v>
      </c>
      <c r="T12" s="24" t="n">
        <f aca="false">L12*($C$22+$D$22)</f>
        <v>92.037</v>
      </c>
      <c r="U12" s="24" t="n">
        <f aca="false">IF(K12="não",M12*($C$22+$D$22),M12*(C$22+D$22+E$22))</f>
        <v>92.037</v>
      </c>
      <c r="V12" s="24" t="n">
        <f aca="false">VLOOKUP(Q12,'Desl. Base Cascavel'!$C$5:$S$16,13,FALSE())*($C$22+$D$22+$E$22*(VLOOKUP(Q12,'Desl. Base Cascavel'!$C$5:$S$16,17,FALSE())/12))</f>
        <v>119.60575</v>
      </c>
      <c r="W12" s="24" t="n">
        <f aca="false">VLOOKUP(Q12,'Desl. Base Cascavel'!$C$5:$S$16,15,FALSE())*(2+(VLOOKUP(Q12,'Desl. Base Cascavel'!$C$5:$S$16,17,FALSE())/12))</f>
        <v>0</v>
      </c>
      <c r="X12" s="24" t="n">
        <f aca="false">VLOOKUP(Q12,'Desl. Base Cascavel'!$C$5:$Q$16,14,FALSE())</f>
        <v>0</v>
      </c>
      <c r="Y12" s="24" t="n">
        <f aca="false">VLOOKUP(Q12,'Desl. Base Cascavel'!$C$5:Q$16,13,FALSE())*'Desl. Base Cascavel'!$E$21+'Desl. Base Cascavel'!$E$22*N12/12</f>
        <v>124.598208333333</v>
      </c>
      <c r="Z12" s="24" t="n">
        <f aca="false">(H12/$AC$5)*'Equipe Técnica'!$C$13</f>
        <v>239.596991886008</v>
      </c>
      <c r="AA12" s="24" t="n">
        <f aca="false">(I12/$AC$5)*'Equipe Técnica'!$C$13</f>
        <v>287.51639026321</v>
      </c>
      <c r="AB12" s="24" t="n">
        <f aca="false">(L12/$AC$5)*'Equipe Técnica'!$C$13</f>
        <v>263.556691074609</v>
      </c>
      <c r="AC12" s="24" t="n">
        <f aca="false">(M12/$AC$5)*'Equipe Técnica'!$C$13</f>
        <v>263.556691074609</v>
      </c>
      <c r="AD12" s="24" t="n">
        <f aca="false">R12+(($V12+$W12+$X12+$Y12)*12/19)+$Z12</f>
        <v>477.501070833377</v>
      </c>
      <c r="AE12" s="24" t="n">
        <f aca="false">S12+(($V12+$W12+$X12+$Y12)*12/19)+$AA12</f>
        <v>542.154469210578</v>
      </c>
      <c r="AF12" s="24" t="n">
        <f aca="false">T12+(($V12+$W12+$X12+$Y12)*12/19)+$AB12</f>
        <v>509.827770021977</v>
      </c>
      <c r="AG12" s="24" t="n">
        <f aca="false">U12+(($V12+$W12+$X12+$Y12)*12/19)+$AC12</f>
        <v>509.827770021977</v>
      </c>
      <c r="AH12" s="132"/>
      <c r="AI12" s="22" t="str">
        <f aca="false">B12</f>
        <v>APS ASSIS CHATEAUBRIAND</v>
      </c>
      <c r="AJ12" s="67" t="n">
        <f aca="false">VLOOKUP(AI12,Unidades!D$5:H$29,5,)</f>
        <v>0.2979</v>
      </c>
      <c r="AK12" s="46" t="n">
        <f aca="false">AD12*(1+$AJ12)</f>
        <v>619.748639834639</v>
      </c>
      <c r="AL12" s="46" t="n">
        <f aca="false">AE12*(1+$AJ12)</f>
        <v>703.66228558841</v>
      </c>
      <c r="AM12" s="46" t="n">
        <f aca="false">AF12*(1+$AJ12)</f>
        <v>661.705462711524</v>
      </c>
      <c r="AN12" s="46" t="n">
        <f aca="false">AG12*(1+$AJ12)</f>
        <v>661.705462711524</v>
      </c>
      <c r="AO12" s="46" t="n">
        <f aca="false">((AK12*12)+(AL12*4)+(AM12*2)+AN12)/12</f>
        <v>1019.72910070866</v>
      </c>
      <c r="AP12" s="46" t="n">
        <f aca="false">AO12*3</f>
        <v>3059.18730212597</v>
      </c>
      <c r="AQ12" s="46" t="n">
        <f aca="false">AO12+AP12</f>
        <v>4078.91640283463</v>
      </c>
      <c r="AR12" s="68"/>
      <c r="AS12" s="71" t="s">
        <v>73</v>
      </c>
      <c r="AT12" s="46" t="n">
        <f aca="false">AT10*3</f>
        <v>46011.3754790478</v>
      </c>
      <c r="AU12" s="46"/>
      <c r="AV12" s="70"/>
      <c r="AW12" s="70"/>
    </row>
    <row r="13" customFormat="false" ht="15" hidden="false" customHeight="true" outlineLevel="0" collapsed="false">
      <c r="B13" s="62" t="s">
        <v>145</v>
      </c>
      <c r="C13" s="63" t="n">
        <f aca="false">VLOOKUP($B13,Unidades!$D$5:$N$29,6,FALSE())</f>
        <v>334.4</v>
      </c>
      <c r="D13" s="63" t="n">
        <f aca="false">VLOOKUP($B13,Unidades!$D$5:$N$29,7,FALSE())</f>
        <v>296</v>
      </c>
      <c r="E13" s="63" t="n">
        <f aca="false">VLOOKUP($B13,Unidades!$D$5:$N$29,8,FALSE())</f>
        <v>38.4</v>
      </c>
      <c r="F13" s="63" t="n">
        <f aca="false">VLOOKUP($B13,Unidades!$D$5:$N$29,9,FALSE())</f>
        <v>0</v>
      </c>
      <c r="G13" s="63" t="n">
        <f aca="false">D13+$E$6*E13+$F$6*F13</f>
        <v>309.44</v>
      </c>
      <c r="H13" s="64" t="n">
        <f aca="false">IF(G13&lt;750,1.5,IF(G13&lt;2000,2,3))</f>
        <v>1.5</v>
      </c>
      <c r="I13" s="64" t="n">
        <f aca="false">$I$6*H13</f>
        <v>1.8</v>
      </c>
      <c r="J13" s="64" t="str">
        <f aca="false">VLOOKUP($B13,Unidades!$D$5:$N$29,10,FALSE())</f>
        <v>NÃO</v>
      </c>
      <c r="K13" s="64" t="str">
        <f aca="false">VLOOKUP($B13,Unidades!$D$5:$N$29,11,FALSE())</f>
        <v>NÃO</v>
      </c>
      <c r="L13" s="64" t="n">
        <f aca="false">$L$6*H13+(IF(J13="SIM",$J$6,0))</f>
        <v>1.65</v>
      </c>
      <c r="M13" s="64" t="n">
        <f aca="false">$M$6*H13+(IF(J13="SIM",$J$6,0))+(IF(K13="SIM",$K$6,0))</f>
        <v>1.65</v>
      </c>
      <c r="N13" s="64" t="n">
        <f aca="false">H13*12+I13*4+L13*2+M13</f>
        <v>30.15</v>
      </c>
      <c r="O13" s="65" t="n">
        <f aca="false">IF(K13="não", N13*(C$22+D$22),N13*(C$22+D$22)+(M13*+E$22))</f>
        <v>1681.767</v>
      </c>
      <c r="P13" s="66"/>
      <c r="Q13" s="22" t="str">
        <f aca="false">B13</f>
        <v>APS PALOTINA</v>
      </c>
      <c r="R13" s="24" t="n">
        <f aca="false">H13*($C$22+$D$22)</f>
        <v>83.67</v>
      </c>
      <c r="S13" s="24" t="n">
        <f aca="false">I13*($C$22+$D$22)</f>
        <v>100.404</v>
      </c>
      <c r="T13" s="24" t="n">
        <f aca="false">L13*($C$22+$D$22)</f>
        <v>92.037</v>
      </c>
      <c r="U13" s="24" t="n">
        <f aca="false">IF(K13="não",M13*($C$22+$D$22),M13*(C$22+D$22+E$22))</f>
        <v>92.037</v>
      </c>
      <c r="V13" s="24" t="n">
        <f aca="false">VLOOKUP(Q13,'Desl. Base Cascavel'!$C$5:$S$16,13,FALSE())*($C$22+$D$22+$E$22*(VLOOKUP(Q13,'Desl. Base Cascavel'!$C$5:$S$16,17,FALSE())/12))</f>
        <v>124.1105</v>
      </c>
      <c r="W13" s="24" t="n">
        <f aca="false">VLOOKUP(Q13,'Desl. Base Cascavel'!$C$5:$S$16,15,FALSE())*(2+(VLOOKUP(Q13,'Desl. Base Cascavel'!$C$5:$S$16,17,FALSE())/12))</f>
        <v>0</v>
      </c>
      <c r="X13" s="24" t="n">
        <f aca="false">VLOOKUP(Q13,'Desl. Base Cascavel'!$C$5:$Q$16,14,FALSE())</f>
        <v>0</v>
      </c>
      <c r="Y13" s="24" t="n">
        <f aca="false">VLOOKUP(Q13,'Desl. Base Cascavel'!$C$5:Q$16,13,FALSE())*'Desl. Base Cascavel'!$E$21+'Desl. Base Cascavel'!$E$22*N13/12</f>
        <v>134.697125</v>
      </c>
      <c r="Z13" s="24" t="n">
        <f aca="false">(H13/$AC$5)*'Equipe Técnica'!$C$13</f>
        <v>239.596991886008</v>
      </c>
      <c r="AA13" s="24" t="n">
        <f aca="false">(I13/$AC$5)*'Equipe Técnica'!$C$13</f>
        <v>287.51639026321</v>
      </c>
      <c r="AB13" s="24" t="n">
        <f aca="false">(L13/$AC$5)*'Equipe Técnica'!$C$13</f>
        <v>263.556691074609</v>
      </c>
      <c r="AC13" s="24" t="n">
        <f aca="false">(M13/$AC$5)*'Equipe Técnica'!$C$13</f>
        <v>263.556691074609</v>
      </c>
      <c r="AD13" s="24" t="n">
        <f aca="false">R13+(($V13+$W13+$X13+$Y13)*12/19)+$Z13</f>
        <v>486.724439254429</v>
      </c>
      <c r="AE13" s="24" t="n">
        <f aca="false">S13+(($V13+$W13+$X13+$Y13)*12/19)+$AA13</f>
        <v>551.377837631631</v>
      </c>
      <c r="AF13" s="24" t="n">
        <f aca="false">T13+(($V13+$W13+$X13+$Y13)*12/19)+$AB13</f>
        <v>519.05113844303</v>
      </c>
      <c r="AG13" s="24" t="n">
        <f aca="false">U13+(($V13+$W13+$X13+$Y13)*12/19)+$AC13</f>
        <v>519.05113844303</v>
      </c>
      <c r="AH13" s="132"/>
      <c r="AI13" s="22" t="str">
        <f aca="false">B13</f>
        <v>APS PALOTINA</v>
      </c>
      <c r="AJ13" s="67" t="n">
        <f aca="false">VLOOKUP(AI13,Unidades!D$5:H$29,5,)</f>
        <v>0.2979</v>
      </c>
      <c r="AK13" s="46" t="n">
        <f aca="false">AD13*(1+$AJ13)</f>
        <v>631.719649708324</v>
      </c>
      <c r="AL13" s="46" t="n">
        <f aca="false">AE13*(1+$AJ13)</f>
        <v>715.633295462094</v>
      </c>
      <c r="AM13" s="46" t="n">
        <f aca="false">AF13*(1+$AJ13)</f>
        <v>673.676472585209</v>
      </c>
      <c r="AN13" s="46" t="n">
        <f aca="false">AG13*(1+$AJ13)</f>
        <v>673.676472585209</v>
      </c>
      <c r="AO13" s="46" t="n">
        <f aca="false">((AK13*12)+(AL13*4)+(AM13*2)+AN13)/12</f>
        <v>1038.68319967532</v>
      </c>
      <c r="AP13" s="46" t="n">
        <f aca="false">AO13*3</f>
        <v>3116.04959902597</v>
      </c>
      <c r="AQ13" s="46" t="n">
        <f aca="false">AO13+AP13</f>
        <v>4154.7327987013</v>
      </c>
      <c r="AR13" s="68"/>
      <c r="AS13" s="71" t="s">
        <v>91</v>
      </c>
      <c r="AT13" s="46" t="n">
        <f aca="false">AT12*12</f>
        <v>552136.505748574</v>
      </c>
      <c r="AU13" s="46"/>
      <c r="AV13" s="70"/>
      <c r="AW13" s="70"/>
    </row>
    <row r="14" customFormat="false" ht="15" hidden="false" customHeight="true" outlineLevel="0" collapsed="false">
      <c r="B14" s="62" t="s">
        <v>146</v>
      </c>
      <c r="C14" s="63" t="n">
        <f aca="false">VLOOKUP($B14,Unidades!$D$5:$N$29,6,FALSE())</f>
        <v>567.94</v>
      </c>
      <c r="D14" s="63" t="n">
        <f aca="false">VLOOKUP($B14,Unidades!$D$5:$N$29,7,FALSE())</f>
        <v>450.82</v>
      </c>
      <c r="E14" s="63" t="n">
        <f aca="false">VLOOKUP($B14,Unidades!$D$5:$N$29,8,FALSE())</f>
        <v>117.12</v>
      </c>
      <c r="F14" s="63" t="n">
        <f aca="false">VLOOKUP($B14,Unidades!$D$5:$N$29,9,FALSE())</f>
        <v>0</v>
      </c>
      <c r="G14" s="63" t="n">
        <f aca="false">D14+$E$6*E14+$F$6*F14</f>
        <v>491.812</v>
      </c>
      <c r="H14" s="64" t="n">
        <f aca="false">IF(G14&lt;750,1.5,IF(G14&lt;2000,2,3))</f>
        <v>1.5</v>
      </c>
      <c r="I14" s="64" t="n">
        <f aca="false">$I$6*H14</f>
        <v>1.8</v>
      </c>
      <c r="J14" s="64" t="str">
        <f aca="false">VLOOKUP($B14,Unidades!$D$5:$N$29,10,FALSE())</f>
        <v>NÃO</v>
      </c>
      <c r="K14" s="64" t="str">
        <f aca="false">VLOOKUP($B14,Unidades!$D$5:$N$29,11,FALSE())</f>
        <v>NÃO</v>
      </c>
      <c r="L14" s="64" t="n">
        <f aca="false">$L$6*H14+(IF(J14="SIM",$J$6,0))</f>
        <v>1.65</v>
      </c>
      <c r="M14" s="64" t="n">
        <f aca="false">$M$6*H14+(IF(J14="SIM",$J$6,0))+(IF(K14="SIM",$K$6,0))</f>
        <v>1.65</v>
      </c>
      <c r="N14" s="64" t="n">
        <f aca="false">H14*12+I14*4+L14*2+M14</f>
        <v>30.15</v>
      </c>
      <c r="O14" s="65" t="n">
        <f aca="false">IF(K14="não", N14*(C$22+D$22),N14*(C$22+D$22)+(M14*+E$22))</f>
        <v>1681.767</v>
      </c>
      <c r="P14" s="66"/>
      <c r="Q14" s="22" t="str">
        <f aca="false">B14</f>
        <v>APS GUAÍRA</v>
      </c>
      <c r="R14" s="24" t="n">
        <f aca="false">H14*($C$22+$D$22)</f>
        <v>83.67</v>
      </c>
      <c r="S14" s="24" t="n">
        <f aca="false">I14*($C$22+$D$22)</f>
        <v>100.404</v>
      </c>
      <c r="T14" s="24" t="n">
        <f aca="false">L14*($C$22+$D$22)</f>
        <v>92.037</v>
      </c>
      <c r="U14" s="24" t="n">
        <f aca="false">IF(K14="não",M14*($C$22+$D$22),M14*(C$22+D$22+E$22))</f>
        <v>92.037</v>
      </c>
      <c r="V14" s="24" t="n">
        <f aca="false">VLOOKUP(Q14,'Desl. Base Cascavel'!$C$5:$S$16,13,FALSE())*($C$22+$D$22+$E$22*(VLOOKUP(Q14,'Desl. Base Cascavel'!$C$5:$S$16,17,FALSE())/12))</f>
        <v>124.1105</v>
      </c>
      <c r="W14" s="24" t="n">
        <f aca="false">VLOOKUP(Q14,'Desl. Base Cascavel'!$C$5:$S$16,15,FALSE())*(2+(VLOOKUP(Q14,'Desl. Base Cascavel'!$C$5:$S$16,17,FALSE())/12))</f>
        <v>0</v>
      </c>
      <c r="X14" s="24" t="n">
        <f aca="false">VLOOKUP(Q14,'Desl. Base Cascavel'!$C$5:$Q$16,14,FALSE())</f>
        <v>0</v>
      </c>
      <c r="Y14" s="24" t="n">
        <f aca="false">VLOOKUP(Q14,'Desl. Base Cascavel'!$C$5:Q$16,13,FALSE())*'Desl. Base Cascavel'!$E$21+'Desl. Base Cascavel'!$E$22*N14/12</f>
        <v>134.697125</v>
      </c>
      <c r="Z14" s="24" t="n">
        <f aca="false">(H14/$AC$5)*'Equipe Técnica'!$C$13</f>
        <v>239.596991886008</v>
      </c>
      <c r="AA14" s="24" t="n">
        <f aca="false">(I14/$AC$5)*'Equipe Técnica'!$C$13</f>
        <v>287.51639026321</v>
      </c>
      <c r="AB14" s="24" t="n">
        <f aca="false">(L14/$AC$5)*'Equipe Técnica'!$C$13</f>
        <v>263.556691074609</v>
      </c>
      <c r="AC14" s="24" t="n">
        <f aca="false">(M14/$AC$5)*'Equipe Técnica'!$C$13</f>
        <v>263.556691074609</v>
      </c>
      <c r="AD14" s="24" t="n">
        <f aca="false">R14+(($V14+$W14+$X14+$Y14)*12/19)+$Z14</f>
        <v>486.724439254429</v>
      </c>
      <c r="AE14" s="24" t="n">
        <f aca="false">S14+(($V14+$W14+$X14+$Y14)*12/19)+$AA14</f>
        <v>551.377837631631</v>
      </c>
      <c r="AF14" s="24" t="n">
        <f aca="false">T14+(($V14+$W14+$X14+$Y14)*12/19)+$AB14</f>
        <v>519.05113844303</v>
      </c>
      <c r="AG14" s="24" t="n">
        <f aca="false">U14+(($V14+$W14+$X14+$Y14)*12/19)+$AC14</f>
        <v>519.05113844303</v>
      </c>
      <c r="AH14" s="132"/>
      <c r="AI14" s="22" t="str">
        <f aca="false">B14</f>
        <v>APS GUAÍRA</v>
      </c>
      <c r="AJ14" s="67" t="n">
        <f aca="false">VLOOKUP(AI14,Unidades!D$5:H$29,5,)</f>
        <v>0.3127</v>
      </c>
      <c r="AK14" s="46" t="n">
        <f aca="false">AD14*(1+$AJ14)</f>
        <v>638.92317140929</v>
      </c>
      <c r="AL14" s="46" t="n">
        <f aca="false">AE14*(1+$AJ14)</f>
        <v>723.793687459042</v>
      </c>
      <c r="AM14" s="46" t="n">
        <f aca="false">AF14*(1+$AJ14)</f>
        <v>681.358429434166</v>
      </c>
      <c r="AN14" s="46" t="n">
        <f aca="false">AG14*(1+$AJ14)</f>
        <v>681.358429434166</v>
      </c>
      <c r="AO14" s="46" t="n">
        <f aca="false">((AK14*12)+(AL14*4)+(AM14*2)+AN14)/12</f>
        <v>1050.52734125418</v>
      </c>
      <c r="AP14" s="46" t="n">
        <f aca="false">AO14*3</f>
        <v>3151.58202376254</v>
      </c>
      <c r="AQ14" s="46" t="n">
        <f aca="false">AO14+AP14</f>
        <v>4202.10936501671</v>
      </c>
      <c r="AR14" s="68"/>
      <c r="AS14" s="71" t="s">
        <v>93</v>
      </c>
      <c r="AT14" s="46" t="n">
        <f aca="false">AT10+AT12</f>
        <v>61348.5006387304</v>
      </c>
      <c r="AU14" s="46"/>
      <c r="AV14" s="70"/>
      <c r="AW14" s="70"/>
    </row>
    <row r="15" customFormat="false" ht="15" hidden="false" customHeight="true" outlineLevel="0" collapsed="false">
      <c r="B15" s="62" t="s">
        <v>147</v>
      </c>
      <c r="C15" s="63" t="n">
        <f aca="false">VLOOKUP($B15,Unidades!$D$5:$N$29,6,FALSE())</f>
        <v>1340</v>
      </c>
      <c r="D15" s="63" t="n">
        <f aca="false">VLOOKUP($B15,Unidades!$D$5:$N$29,7,FALSE())</f>
        <v>695.46</v>
      </c>
      <c r="E15" s="63" t="n">
        <f aca="false">VLOOKUP($B15,Unidades!$D$5:$N$29,8,FALSE())</f>
        <v>389.89</v>
      </c>
      <c r="F15" s="63" t="n">
        <f aca="false">VLOOKUP($B15,Unidades!$D$5:$N$29,9,FALSE())</f>
        <v>254.65</v>
      </c>
      <c r="G15" s="63" t="n">
        <f aca="false">D15+$E$6*E15+$F$6*F15</f>
        <v>857.3865</v>
      </c>
      <c r="H15" s="64" t="n">
        <f aca="false">IF(G15&lt;750,1.5,IF(G15&lt;2000,2,3))</f>
        <v>2</v>
      </c>
      <c r="I15" s="64" t="n">
        <f aca="false">$I$6*H15</f>
        <v>2.4</v>
      </c>
      <c r="J15" s="64" t="str">
        <f aca="false">VLOOKUP($B15,Unidades!$D$5:$N$29,10,FALSE())</f>
        <v>NÃO</v>
      </c>
      <c r="K15" s="64" t="str">
        <f aca="false">VLOOKUP($B15,Unidades!$D$5:$N$29,11,FALSE())</f>
        <v>NÃO</v>
      </c>
      <c r="L15" s="64" t="n">
        <f aca="false">$L$6*H15+(IF(J15="SIM",$J$6,0))</f>
        <v>2.2</v>
      </c>
      <c r="M15" s="64" t="n">
        <f aca="false">$M$6*H15+(IF(J15="SIM",$J$6,0))+(IF(K15="SIM",$K$6,0))</f>
        <v>2.2</v>
      </c>
      <c r="N15" s="64" t="n">
        <f aca="false">H15*12+I15*4+L15*2+M15</f>
        <v>40.2</v>
      </c>
      <c r="O15" s="65" t="n">
        <f aca="false">IF(K15="não", N15*(C$22+D$22),N15*(C$22+D$22)+(M15*+E$22))</f>
        <v>2242.356</v>
      </c>
      <c r="P15" s="66"/>
      <c r="Q15" s="22" t="str">
        <f aca="false">B15</f>
        <v>APS MEDIANEIRA</v>
      </c>
      <c r="R15" s="24" t="n">
        <f aca="false">H15*($C$22+$D$22)</f>
        <v>111.56</v>
      </c>
      <c r="S15" s="24" t="n">
        <f aca="false">I15*($C$22+$D$22)</f>
        <v>133.872</v>
      </c>
      <c r="T15" s="24" t="n">
        <f aca="false">L15*($C$22+$D$22)</f>
        <v>122.716</v>
      </c>
      <c r="U15" s="24" t="n">
        <f aca="false">IF(K15="não",M15*($C$22+$D$22),M15*(C$22+D$22+E$22))</f>
        <v>122.716</v>
      </c>
      <c r="V15" s="24" t="n">
        <f aca="false">VLOOKUP(Q15,'Desl. Base Cascavel'!$C$5:$S$16,13,FALSE())*($C$22+$D$22+$E$22*(VLOOKUP(Q15,'Desl. Base Cascavel'!$C$5:$S$16,17,FALSE())/12))</f>
        <v>83.2051666666667</v>
      </c>
      <c r="W15" s="24" t="n">
        <f aca="false">VLOOKUP(Q15,'Desl. Base Cascavel'!$C$5:$S$16,15,FALSE())*(2+(VLOOKUP(Q15,'Desl. Base Cascavel'!$C$5:$S$16,17,FALSE())/12))</f>
        <v>0</v>
      </c>
      <c r="X15" s="24" t="n">
        <f aca="false">VLOOKUP(Q15,'Desl. Base Cascavel'!$C$5:$Q$16,14,FALSE())</f>
        <v>0</v>
      </c>
      <c r="Y15" s="24" t="n">
        <f aca="false">VLOOKUP(Q15,'Desl. Base Cascavel'!$C$5:Q$16,13,FALSE())*'Desl. Base Cascavel'!$E$21+'Desl. Base Cascavel'!$E$22*N15/12</f>
        <v>101.878416666667</v>
      </c>
      <c r="Z15" s="24" t="n">
        <f aca="false">(H15/$AC$5)*'Equipe Técnica'!$C$13</f>
        <v>319.462655848011</v>
      </c>
      <c r="AA15" s="24" t="n">
        <f aca="false">(I15/$AC$5)*'Equipe Técnica'!$C$13</f>
        <v>383.355187017613</v>
      </c>
      <c r="AB15" s="24" t="n">
        <f aca="false">(L15/$AC$5)*'Equipe Técnica'!$C$13</f>
        <v>351.408921432812</v>
      </c>
      <c r="AC15" s="24" t="n">
        <f aca="false">(M15/$AC$5)*'Equipe Técnica'!$C$13</f>
        <v>351.408921432812</v>
      </c>
      <c r="AD15" s="24" t="n">
        <f aca="false">R15+(($V15+$W15+$X15+$Y15)*12/19)+$Z15</f>
        <v>547.917550584853</v>
      </c>
      <c r="AE15" s="24" t="n">
        <f aca="false">S15+(($V15+$W15+$X15+$Y15)*12/19)+$AA15</f>
        <v>634.122081754456</v>
      </c>
      <c r="AF15" s="24" t="n">
        <f aca="false">T15+(($V15+$W15+$X15+$Y15)*12/19)+$AB15</f>
        <v>591.019816169655</v>
      </c>
      <c r="AG15" s="24" t="n">
        <f aca="false">U15+(($V15+$W15+$X15+$Y15)*12/19)+$AC15</f>
        <v>591.019816169655</v>
      </c>
      <c r="AH15" s="132"/>
      <c r="AI15" s="22" t="str">
        <f aca="false">B15</f>
        <v>APS MEDIANEIRA</v>
      </c>
      <c r="AJ15" s="67" t="n">
        <f aca="false">VLOOKUP(AI15,Unidades!D$5:H$29,5,)</f>
        <v>0.2979</v>
      </c>
      <c r="AK15" s="46" t="n">
        <f aca="false">AD15*(1+$AJ15)</f>
        <v>711.142188904081</v>
      </c>
      <c r="AL15" s="46" t="n">
        <f aca="false">AE15*(1+$AJ15)</f>
        <v>823.027049909108</v>
      </c>
      <c r="AM15" s="46" t="n">
        <f aca="false">AF15*(1+$AJ15)</f>
        <v>767.084619406595</v>
      </c>
      <c r="AN15" s="46" t="n">
        <f aca="false">AG15*(1+$AJ15)</f>
        <v>767.084619406595</v>
      </c>
      <c r="AO15" s="46" t="n">
        <f aca="false">((AK15*12)+(AL15*4)+(AM15*2)+AN15)/12</f>
        <v>1177.25569372543</v>
      </c>
      <c r="AP15" s="46" t="n">
        <f aca="false">AO15*3</f>
        <v>3531.7670811763</v>
      </c>
      <c r="AQ15" s="46" t="n">
        <f aca="false">AO15+AP15</f>
        <v>4709.02277490173</v>
      </c>
      <c r="AR15" s="68"/>
      <c r="AS15" s="71" t="s">
        <v>95</v>
      </c>
      <c r="AT15" s="46" t="n">
        <f aca="false">AT11+AT13</f>
        <v>736182.007664765</v>
      </c>
      <c r="AU15" s="46"/>
      <c r="AV15" s="70"/>
      <c r="AW15" s="70"/>
    </row>
    <row r="16" customFormat="false" ht="15" hidden="false" customHeight="true" outlineLevel="0" collapsed="false">
      <c r="B16" s="62" t="s">
        <v>148</v>
      </c>
      <c r="C16" s="63" t="n">
        <f aca="false">VLOOKUP($B16,Unidades!$D$5:$N$29,6,FALSE())</f>
        <v>334.4</v>
      </c>
      <c r="D16" s="63" t="n">
        <f aca="false">VLOOKUP($B16,Unidades!$D$5:$N$29,7,FALSE())</f>
        <v>296</v>
      </c>
      <c r="E16" s="63" t="n">
        <f aca="false">VLOOKUP($B16,Unidades!$D$5:$N$29,8,FALSE())</f>
        <v>38.4</v>
      </c>
      <c r="F16" s="63" t="n">
        <f aca="false">VLOOKUP($B16,Unidades!$D$5:$N$29,9,FALSE())</f>
        <v>0</v>
      </c>
      <c r="G16" s="63" t="n">
        <f aca="false">D16+$E$6*E16+$F$6*F16</f>
        <v>309.44</v>
      </c>
      <c r="H16" s="64" t="n">
        <f aca="false">IF(G16&lt;750,1.5,IF(G16&lt;2000,2,3))</f>
        <v>1.5</v>
      </c>
      <c r="I16" s="64" t="n">
        <f aca="false">$I$6*H16</f>
        <v>1.8</v>
      </c>
      <c r="J16" s="64" t="str">
        <f aca="false">VLOOKUP($B16,Unidades!$D$5:$N$29,10,FALSE())</f>
        <v>NÃO</v>
      </c>
      <c r="K16" s="64" t="str">
        <f aca="false">VLOOKUP($B16,Unidades!$D$5:$N$29,11,FALSE())</f>
        <v>NÃO</v>
      </c>
      <c r="L16" s="64" t="n">
        <f aca="false">$L$6*H16+(IF(J16="SIM",$J$6,0))</f>
        <v>1.65</v>
      </c>
      <c r="M16" s="64" t="n">
        <f aca="false">$M$6*H16+(IF(J16="SIM",$J$6,0))+(IF(K16="SIM",$K$6,0))</f>
        <v>1.65</v>
      </c>
      <c r="N16" s="64" t="n">
        <f aca="false">H16*12+I16*4+L16*2+M16</f>
        <v>30.15</v>
      </c>
      <c r="O16" s="65" t="n">
        <f aca="false">IF(K16="não", N16*(C$22+D$22),N16*(C$22+D$22)+(M16*+E$22))</f>
        <v>1681.767</v>
      </c>
      <c r="P16" s="66"/>
      <c r="Q16" s="22" t="str">
        <f aca="false">B16</f>
        <v>APS SÃO MIGUEL DO IGUAÇU</v>
      </c>
      <c r="R16" s="24" t="n">
        <f aca="false">H16*($C$22+$D$22)</f>
        <v>83.67</v>
      </c>
      <c r="S16" s="24" t="n">
        <f aca="false">I16*($C$22+$D$22)</f>
        <v>100.404</v>
      </c>
      <c r="T16" s="24" t="n">
        <f aca="false">L16*($C$22+$D$22)</f>
        <v>92.037</v>
      </c>
      <c r="U16" s="24" t="n">
        <f aca="false">IF(K16="não",M16*($C$22+$D$22),M16*(C$22+D$22+E$22))</f>
        <v>92.037</v>
      </c>
      <c r="V16" s="24" t="n">
        <f aca="false">VLOOKUP(Q16,'Desl. Base Cascavel'!$C$5:$S$16,13,FALSE())*($C$22+$D$22+$E$22*(VLOOKUP(Q16,'Desl. Base Cascavel'!$C$5:$S$16,17,FALSE())/12))</f>
        <v>83.2051666666667</v>
      </c>
      <c r="W16" s="24" t="n">
        <f aca="false">VLOOKUP(Q16,'Desl. Base Cascavel'!$C$5:$S$16,15,FALSE())*(2+(VLOOKUP(Q16,'Desl. Base Cascavel'!$C$5:$S$16,17,FALSE())/12))</f>
        <v>0</v>
      </c>
      <c r="X16" s="24" t="n">
        <f aca="false">VLOOKUP(Q16,'Desl. Base Cascavel'!$C$5:$Q$16,14,FALSE())</f>
        <v>0</v>
      </c>
      <c r="Y16" s="24" t="n">
        <f aca="false">VLOOKUP(Q16,'Desl. Base Cascavel'!$C$5:Q$16,13,FALSE())*'Desl. Base Cascavel'!$E$21+'Desl. Base Cascavel'!$E$22*N16/12</f>
        <v>96.0577916666667</v>
      </c>
      <c r="Z16" s="24" t="n">
        <f aca="false">(H16/$AC$5)*'Equipe Técnica'!$C$13</f>
        <v>239.596991886008</v>
      </c>
      <c r="AA16" s="24" t="n">
        <f aca="false">(I16/$AC$5)*'Equipe Técnica'!$C$13</f>
        <v>287.51639026321</v>
      </c>
      <c r="AB16" s="24" t="n">
        <f aca="false">(L16/$AC$5)*'Equipe Técnica'!$C$13</f>
        <v>263.556691074609</v>
      </c>
      <c r="AC16" s="24" t="n">
        <f aca="false">(M16/$AC$5)*'Equipe Técnica'!$C$13</f>
        <v>263.556691074609</v>
      </c>
      <c r="AD16" s="24" t="n">
        <f aca="false">R16+(($V16+$W16+$X16+$Y16)*12/19)+$Z16</f>
        <v>436.485702412324</v>
      </c>
      <c r="AE16" s="24" t="n">
        <f aca="false">S16+(($V16+$W16+$X16+$Y16)*12/19)+$AA16</f>
        <v>501.139100789526</v>
      </c>
      <c r="AF16" s="24" t="n">
        <f aca="false">T16+(($V16+$W16+$X16+$Y16)*12/19)+$AB16</f>
        <v>468.812401600925</v>
      </c>
      <c r="AG16" s="24" t="n">
        <f aca="false">U16+(($V16+$W16+$X16+$Y16)*12/19)+$AC16</f>
        <v>468.812401600925</v>
      </c>
      <c r="AH16" s="132"/>
      <c r="AI16" s="22" t="str">
        <f aca="false">B16</f>
        <v>APS SÃO MIGUEL DO IGUAÇU</v>
      </c>
      <c r="AJ16" s="67" t="n">
        <f aca="false">VLOOKUP(AI16,Unidades!D$5:H$29,5,)</f>
        <v>0.2979</v>
      </c>
      <c r="AK16" s="46" t="n">
        <f aca="false">AD16*(1+$AJ16)</f>
        <v>566.514793160956</v>
      </c>
      <c r="AL16" s="46" t="n">
        <f aca="false">AE16*(1+$AJ16)</f>
        <v>650.428438914726</v>
      </c>
      <c r="AM16" s="46" t="n">
        <f aca="false">AF16*(1+$AJ16)</f>
        <v>608.471616037841</v>
      </c>
      <c r="AN16" s="46" t="n">
        <f aca="false">AG16*(1+$AJ16)</f>
        <v>608.471616037841</v>
      </c>
      <c r="AO16" s="46" t="n">
        <f aca="false">((AK16*12)+(AL16*4)+(AM16*2)+AN16)/12</f>
        <v>935.442176808658</v>
      </c>
      <c r="AP16" s="46" t="n">
        <f aca="false">AO16*3</f>
        <v>2806.32653042597</v>
      </c>
      <c r="AQ16" s="46" t="n">
        <f aca="false">AO16+AP16</f>
        <v>3741.76870723463</v>
      </c>
      <c r="AR16" s="68"/>
      <c r="AS16" s="133"/>
      <c r="AT16" s="134"/>
      <c r="AU16" s="134"/>
      <c r="AV16" s="70"/>
      <c r="AW16" s="70"/>
    </row>
    <row r="17" customFormat="false" ht="15" hidden="false" customHeight="true" outlineLevel="0" collapsed="false">
      <c r="B17" s="62" t="s">
        <v>149</v>
      </c>
      <c r="C17" s="63" t="n">
        <f aca="false">VLOOKUP($B17,Unidades!$D$5:$N$29,6,FALSE())</f>
        <v>3100</v>
      </c>
      <c r="D17" s="63" t="n">
        <f aca="false">VLOOKUP($B17,Unidades!$D$5:$N$29,7,FALSE())</f>
        <v>2069.99</v>
      </c>
      <c r="E17" s="63" t="n">
        <f aca="false">VLOOKUP($B17,Unidades!$D$5:$N$29,8,FALSE())</f>
        <v>964.36</v>
      </c>
      <c r="F17" s="63" t="n">
        <f aca="false">VLOOKUP($B17,Unidades!$D$5:$N$29,9,FALSE())</f>
        <v>65.65</v>
      </c>
      <c r="G17" s="63" t="n">
        <f aca="false">D17+$E$6*E17+$F$6*F17</f>
        <v>2414.081</v>
      </c>
      <c r="H17" s="64" t="n">
        <f aca="false">IF(G17&lt;750,1.5,IF(G17&lt;2000,2,3))</f>
        <v>3</v>
      </c>
      <c r="I17" s="64" t="n">
        <f aca="false">$I$6*H17</f>
        <v>3.6</v>
      </c>
      <c r="J17" s="64" t="str">
        <f aca="false">VLOOKUP($B17,Unidades!$D$5:$N$29,10,FALSE())</f>
        <v>SIM</v>
      </c>
      <c r="K17" s="64" t="str">
        <f aca="false">VLOOKUP($B17,Unidades!$D$5:$N$29,11,FALSE())</f>
        <v>SIM</v>
      </c>
      <c r="L17" s="64" t="n">
        <f aca="false">$L$6*H17+(IF(J17="SIM",$J$6,0))</f>
        <v>5.3</v>
      </c>
      <c r="M17" s="64" t="n">
        <f aca="false">$M$6*H17+(IF(J17="SIM",$J$6,0))+(IF(K17="SIM",$K$6,0))</f>
        <v>9.3</v>
      </c>
      <c r="N17" s="64" t="n">
        <f aca="false">H17*12+I17*4+L17*2+M17</f>
        <v>70.3</v>
      </c>
      <c r="O17" s="65" t="n">
        <f aca="false">IF(K17="não", N17*(C$22+D$22),N17*(C$22+D$22)+(M17*+E$22))</f>
        <v>4260.877</v>
      </c>
      <c r="P17" s="66"/>
      <c r="Q17" s="22" t="str">
        <f aca="false">B17</f>
        <v>APS FOZ DO IGUAÇU</v>
      </c>
      <c r="R17" s="24" t="n">
        <f aca="false">H17*($C$22+$D$22)</f>
        <v>167.34</v>
      </c>
      <c r="S17" s="24" t="n">
        <f aca="false">I17*($C$22+$D$22)</f>
        <v>200.808</v>
      </c>
      <c r="T17" s="24" t="n">
        <f aca="false">L17*($C$22+$D$22)</f>
        <v>295.634</v>
      </c>
      <c r="U17" s="24" t="n">
        <f aca="false">IF(K17="não",M17*($C$22+$D$22),M17*(C$22+D$22+E$22))</f>
        <v>858.297</v>
      </c>
      <c r="V17" s="24" t="n">
        <f aca="false">VLOOKUP(Q17,'Desl. Base Cascavel'!$C$5:$S$16,13,FALSE())*($C$22+$D$22+$E$22*(VLOOKUP(Q17,'Desl. Base Cascavel'!$C$5:$S$16,17,FALSE())/12))</f>
        <v>230.388125</v>
      </c>
      <c r="W17" s="24" t="n">
        <f aca="false">VLOOKUP(Q17,'Desl. Base Cascavel'!$C$5:$S$16,15,FALSE())*(2+(VLOOKUP(Q17,'Desl. Base Cascavel'!$C$5:$S$16,17,FALSE())/12))</f>
        <v>0</v>
      </c>
      <c r="X17" s="24" t="n">
        <f aca="false">VLOOKUP(Q17,'Desl. Base Cascavel'!$C$5:$Q$16,14,FALSE())</f>
        <v>0</v>
      </c>
      <c r="Y17" s="24" t="n">
        <f aca="false">VLOOKUP(Q17,'Desl. Base Cascavel'!$C$5:Q$16,13,FALSE())*'Desl. Base Cascavel'!$E$21+'Desl. Base Cascavel'!$E$22*N17/12</f>
        <v>247.084583333333</v>
      </c>
      <c r="Z17" s="24" t="n">
        <f aca="false">(H17/$AC$5)*'Equipe Técnica'!$C$13</f>
        <v>479.193983772017</v>
      </c>
      <c r="AA17" s="24" t="n">
        <f aca="false">(I17/$AC$5)*'Equipe Técnica'!$C$13</f>
        <v>575.03278052642</v>
      </c>
      <c r="AB17" s="24" t="n">
        <f aca="false">(L17/$AC$5)*'Equipe Técnica'!$C$13</f>
        <v>846.576037997229</v>
      </c>
      <c r="AC17" s="24" t="n">
        <f aca="false">(M17/$AC$5)*'Equipe Técnica'!$C$13</f>
        <v>1485.50134969325</v>
      </c>
      <c r="AD17" s="24" t="n">
        <f aca="false">R17+(($V17+$W17+$X17+$Y17)*12/19)+$Z17</f>
        <v>948.095694298332</v>
      </c>
      <c r="AE17" s="24" t="n">
        <f aca="false">S17+(($V17+$W17+$X17+$Y17)*12/19)+$AA17</f>
        <v>1077.40249105274</v>
      </c>
      <c r="AF17" s="24" t="n">
        <f aca="false">T17+(($V17+$W17+$X17+$Y17)*12/19)+$AB17</f>
        <v>1443.77174852355</v>
      </c>
      <c r="AG17" s="24" t="n">
        <f aca="false">U17+(($V17+$W17+$X17+$Y17)*12/19)+$AC17</f>
        <v>2645.36006021957</v>
      </c>
      <c r="AH17" s="132"/>
      <c r="AI17" s="22" t="str">
        <f aca="false">B17</f>
        <v>APS FOZ DO IGUAÇU</v>
      </c>
      <c r="AJ17" s="67" t="n">
        <f aca="false">VLOOKUP(AI17,Unidades!D$5:H$29,5,)</f>
        <v>0.3127</v>
      </c>
      <c r="AK17" s="46" t="n">
        <f aca="false">AD17*(1+$AJ17)</f>
        <v>1244.56521790542</v>
      </c>
      <c r="AL17" s="46" t="n">
        <f aca="false">AE17*(1+$AJ17)</f>
        <v>1414.30625000493</v>
      </c>
      <c r="AM17" s="46" t="n">
        <f aca="false">AF17*(1+$AJ17)</f>
        <v>1895.23917428686</v>
      </c>
      <c r="AN17" s="46" t="n">
        <f aca="false">AG17*(1+$AJ17)</f>
        <v>3472.56415105023</v>
      </c>
      <c r="AO17" s="46" t="n">
        <f aca="false">((AK17*12)+(AL17*4)+(AM17*2)+AN17)/12</f>
        <v>2321.25417620906</v>
      </c>
      <c r="AP17" s="46" t="n">
        <f aca="false">AO17*3</f>
        <v>6963.76252862717</v>
      </c>
      <c r="AQ17" s="46" t="n">
        <f aca="false">AO17+AP17</f>
        <v>9285.01670483623</v>
      </c>
      <c r="AR17" s="68"/>
      <c r="AS17" s="133"/>
      <c r="AT17" s="134"/>
      <c r="AU17" s="134"/>
      <c r="AV17" s="70"/>
      <c r="AW17" s="70"/>
    </row>
    <row r="18" customFormat="false" ht="15" hidden="false" customHeight="true" outlineLevel="0" collapsed="false">
      <c r="B18" s="62" t="s">
        <v>150</v>
      </c>
      <c r="C18" s="63" t="n">
        <f aca="false">VLOOKUP($B18,Unidades!$D$5:$N$29,6,FALSE())</f>
        <v>334.4</v>
      </c>
      <c r="D18" s="63" t="n">
        <f aca="false">VLOOKUP($B18,Unidades!$D$5:$N$29,7,FALSE())</f>
        <v>296</v>
      </c>
      <c r="E18" s="63" t="n">
        <f aca="false">VLOOKUP($B18,Unidades!$D$5:$N$29,8,FALSE())</f>
        <v>38.4</v>
      </c>
      <c r="F18" s="63" t="n">
        <f aca="false">VLOOKUP($B18,Unidades!$D$5:$N$29,9,FALSE())</f>
        <v>0</v>
      </c>
      <c r="G18" s="63" t="n">
        <f aca="false">D18+$E$6*E18+$F$6*F18</f>
        <v>309.44</v>
      </c>
      <c r="H18" s="64" t="n">
        <f aca="false">IF(G18&lt;750,1.5,IF(G18&lt;2000,2,3))</f>
        <v>1.5</v>
      </c>
      <c r="I18" s="64" t="n">
        <f aca="false">$I$6*H18</f>
        <v>1.8</v>
      </c>
      <c r="J18" s="64" t="str">
        <f aca="false">VLOOKUP($B18,Unidades!$D$5:$N$29,10,FALSE())</f>
        <v>NÃO</v>
      </c>
      <c r="K18" s="64" t="str">
        <f aca="false">VLOOKUP($B18,Unidades!$D$5:$N$29,11,FALSE())</f>
        <v>NÃO</v>
      </c>
      <c r="L18" s="64" t="n">
        <f aca="false">$L$6*H18+(IF(J18="SIM",$J$6,0))</f>
        <v>1.65</v>
      </c>
      <c r="M18" s="64" t="n">
        <f aca="false">$M$6*H18+(IF(J18="SIM",$J$6,0))+(IF(K18="SIM",$K$6,0))</f>
        <v>1.65</v>
      </c>
      <c r="N18" s="64" t="n">
        <f aca="false">H18*12+I18*4+L18*2+M18</f>
        <v>30.15</v>
      </c>
      <c r="O18" s="65" t="n">
        <f aca="false">IF(K18="não", N18*(C$22+D$22),N18*(C$22+D$22)+(M18*+E$22))</f>
        <v>1681.767</v>
      </c>
      <c r="P18" s="66"/>
      <c r="Q18" s="22" t="str">
        <f aca="false">B18</f>
        <v>APS QUEDAS DO IGUAÇU</v>
      </c>
      <c r="R18" s="24" t="n">
        <f aca="false">H18*($C$22+$D$22)</f>
        <v>83.67</v>
      </c>
      <c r="S18" s="24" t="n">
        <f aca="false">I18*($C$22+$D$22)</f>
        <v>100.404</v>
      </c>
      <c r="T18" s="24" t="n">
        <f aca="false">L18*($C$22+$D$22)</f>
        <v>92.037</v>
      </c>
      <c r="U18" s="24" t="n">
        <f aca="false">IF(K18="não",M18*($C$22+$D$22),M18*(C$22+D$22+E$22))</f>
        <v>92.037</v>
      </c>
      <c r="V18" s="24" t="n">
        <f aca="false">VLOOKUP(Q18,'Desl. Base Cascavel'!$C$5:$S$16,13,FALSE())*($C$22+$D$22+$E$22*(VLOOKUP(Q18,'Desl. Base Cascavel'!$C$5:$S$16,17,FALSE())/12))</f>
        <v>196.159666666667</v>
      </c>
      <c r="W18" s="24" t="n">
        <f aca="false">VLOOKUP(Q18,'Desl. Base Cascavel'!$C$5:$S$16,15,FALSE())*(2+(VLOOKUP(Q18,'Desl. Base Cascavel'!$C$5:$S$16,17,FALSE())/12))</f>
        <v>0</v>
      </c>
      <c r="X18" s="24" t="n">
        <f aca="false">VLOOKUP(Q18,'Desl. Base Cascavel'!$C$5:$Q$16,14,FALSE())</f>
        <v>0</v>
      </c>
      <c r="Y18" s="24" t="n">
        <f aca="false">VLOOKUP(Q18,'Desl. Base Cascavel'!$C$5:Q$16,13,FALSE())*'Desl. Base Cascavel'!$E$21+'Desl. Base Cascavel'!$E$22*N18/12</f>
        <v>202.755041666667</v>
      </c>
      <c r="Z18" s="24" t="n">
        <f aca="false">(H18/$AC$5)*'Equipe Técnica'!$C$13</f>
        <v>239.596991886008</v>
      </c>
      <c r="AA18" s="24" t="n">
        <f aca="false">(I18/$AC$5)*'Equipe Técnica'!$C$13</f>
        <v>287.51639026321</v>
      </c>
      <c r="AB18" s="24" t="n">
        <f aca="false">(L18/$AC$5)*'Equipe Técnica'!$C$13</f>
        <v>263.556691074609</v>
      </c>
      <c r="AC18" s="24" t="n">
        <f aca="false">(M18/$AC$5)*'Equipe Técnica'!$C$13</f>
        <v>263.556691074609</v>
      </c>
      <c r="AD18" s="24" t="n">
        <f aca="false">R18+(($V18+$W18+$X18+$Y18)*12/19)+$Z18</f>
        <v>575.213123464956</v>
      </c>
      <c r="AE18" s="24" t="n">
        <f aca="false">S18+(($V18+$W18+$X18+$Y18)*12/19)+$AA18</f>
        <v>639.866521842158</v>
      </c>
      <c r="AF18" s="24" t="n">
        <f aca="false">T18+(($V18+$W18+$X18+$Y18)*12/19)+$AB18</f>
        <v>607.539822653557</v>
      </c>
      <c r="AG18" s="24" t="n">
        <f aca="false">U18+(($V18+$W18+$X18+$Y18)*12/19)+$AC18</f>
        <v>607.539822653557</v>
      </c>
      <c r="AH18" s="132"/>
      <c r="AI18" s="22" t="str">
        <f aca="false">B18</f>
        <v>APS QUEDAS DO IGUAÇU</v>
      </c>
      <c r="AJ18" s="67" t="n">
        <f aca="false">VLOOKUP(AI18,Unidades!D$5:H$29,5,)</f>
        <v>0.2835</v>
      </c>
      <c r="AK18" s="46" t="n">
        <f aca="false">AD18*(1+$AJ18)</f>
        <v>738.286043967271</v>
      </c>
      <c r="AL18" s="46" t="n">
        <f aca="false">AE18*(1+$AJ18)</f>
        <v>821.268680784409</v>
      </c>
      <c r="AM18" s="46" t="n">
        <f aca="false">AF18*(1+$AJ18)</f>
        <v>779.77736237584</v>
      </c>
      <c r="AN18" s="46" t="n">
        <f aca="false">AG18*(1+$AJ18)</f>
        <v>779.77736237584</v>
      </c>
      <c r="AO18" s="46" t="n">
        <f aca="false">((AK18*12)+(AL18*4)+(AM18*2)+AN18)/12</f>
        <v>1206.98661148937</v>
      </c>
      <c r="AP18" s="46" t="n">
        <f aca="false">AO18*3</f>
        <v>3620.9598344681</v>
      </c>
      <c r="AQ18" s="46" t="n">
        <f aca="false">AO18+AP18</f>
        <v>4827.94644595747</v>
      </c>
      <c r="AR18" s="68"/>
      <c r="AS18" s="133"/>
      <c r="AT18" s="134"/>
      <c r="AU18" s="134"/>
      <c r="AV18" s="70"/>
      <c r="AW18" s="70"/>
    </row>
    <row r="19" s="135" customFormat="true" ht="19.5" hidden="false" customHeight="true" outlineLevel="0" collapsed="false">
      <c r="B19" s="136" t="s">
        <v>100</v>
      </c>
      <c r="C19" s="73" t="n">
        <f aca="false">SUM(C7:C18)</f>
        <v>14675.69</v>
      </c>
      <c r="D19" s="73" t="n">
        <f aca="false">SUM(D7:D18)</f>
        <v>8680.57</v>
      </c>
      <c r="E19" s="73" t="n">
        <f aca="false">SUM(E7:E18)</f>
        <v>4091.78</v>
      </c>
      <c r="F19" s="73" t="n">
        <f aca="false">SUM(F7:F18)</f>
        <v>703.34</v>
      </c>
      <c r="G19" s="73" t="n">
        <f aca="false">SUM(G7:G18)</f>
        <v>10183.027</v>
      </c>
      <c r="H19" s="74" t="n">
        <f aca="false">SUM(H7:H18)</f>
        <v>22</v>
      </c>
      <c r="I19" s="74" t="n">
        <f aca="false">SUM(I7:I18)</f>
        <v>26.4</v>
      </c>
      <c r="J19" s="74" t="n">
        <f aca="false">COUNTIF(J7:J18,"SIM")</f>
        <v>5</v>
      </c>
      <c r="K19" s="74" t="n">
        <f aca="false">COUNTIF(K7:K18,"SIM")</f>
        <v>4</v>
      </c>
      <c r="L19" s="74" t="n">
        <f aca="false">SUM(L7:L18)</f>
        <v>34.2</v>
      </c>
      <c r="M19" s="74" t="n">
        <f aca="false">SUM(M7:M18)</f>
        <v>50.2</v>
      </c>
      <c r="N19" s="74" t="n">
        <f aca="false">SUM(N7:N18)</f>
        <v>488.2</v>
      </c>
      <c r="O19" s="75" t="n">
        <f aca="false">SUM(O7:O18)</f>
        <v>28489.5655</v>
      </c>
      <c r="P19" s="137"/>
      <c r="Q19" s="138" t="s">
        <v>100</v>
      </c>
      <c r="R19" s="77" t="n">
        <f aca="false">SUM(R7:R18)</f>
        <v>1227.16</v>
      </c>
      <c r="S19" s="77" t="n">
        <f aca="false">SUM(S7:S18)</f>
        <v>1472.592</v>
      </c>
      <c r="T19" s="77" t="n">
        <f aca="false">SUM(T7:T18)</f>
        <v>1907.676</v>
      </c>
      <c r="U19" s="77" t="n">
        <f aca="false">SUM(U7:U18)</f>
        <v>4057.9255</v>
      </c>
      <c r="V19" s="77" t="n">
        <f aca="false">SUM(V7:V18)</f>
        <v>1388.228375</v>
      </c>
      <c r="W19" s="77" t="n">
        <f aca="false">SUM(W7:W18)</f>
        <v>0</v>
      </c>
      <c r="X19" s="77" t="n">
        <f aca="false">SUM(X7:X18)</f>
        <v>0</v>
      </c>
      <c r="Y19" s="77" t="n">
        <f aca="false">SUM(Y7:Y18)</f>
        <v>1556.09083333333</v>
      </c>
      <c r="Z19" s="77" t="n">
        <f aca="false">SUM(Z7:Z18)</f>
        <v>3514.08921432812</v>
      </c>
      <c r="AA19" s="77" t="n">
        <f aca="false">SUM(AA7:AA18)</f>
        <v>4216.90705719375</v>
      </c>
      <c r="AB19" s="77" t="n">
        <f aca="false">SUM(AB7:AB18)</f>
        <v>5462.81141500099</v>
      </c>
      <c r="AC19" s="77" t="n">
        <f aca="false">SUM(AC7:AC18)</f>
        <v>8018.51266178508</v>
      </c>
      <c r="AD19" s="77" t="n">
        <f aca="false">SUM(AD7:AD18)</f>
        <v>6600.81924064391</v>
      </c>
      <c r="AE19" s="77" t="n">
        <f aca="false">SUM(AE7:AE18)</f>
        <v>7549.06908350954</v>
      </c>
      <c r="AF19" s="77" t="n">
        <f aca="false">SUM(AF7:AF18)</f>
        <v>9230.05744131678</v>
      </c>
      <c r="AG19" s="77" t="n">
        <f aca="false">SUM(AG7:AG18)</f>
        <v>13936.0081881009</v>
      </c>
      <c r="AH19" s="39"/>
      <c r="AI19" s="74" t="s">
        <v>100</v>
      </c>
      <c r="AJ19" s="74"/>
      <c r="AK19" s="78" t="n">
        <f aca="false">SUM(AK7:AK18)</f>
        <v>8567.1030380641</v>
      </c>
      <c r="AL19" s="78" t="n">
        <f aca="false">SUM(AL7:AL18)</f>
        <v>9797.91409319745</v>
      </c>
      <c r="AM19" s="78" t="n">
        <f aca="false">SUM(AM7:AM18)</f>
        <v>11979.8024998188</v>
      </c>
      <c r="AN19" s="78" t="n">
        <f aca="false">SUM(AN7:AN18)</f>
        <v>18089.0040869945</v>
      </c>
      <c r="AO19" s="78" t="n">
        <f aca="false">SUM(AO7:AO18)</f>
        <v>15337.1251596826</v>
      </c>
      <c r="AP19" s="78" t="n">
        <f aca="false">SUM(AP7:AP18)</f>
        <v>46011.3754790478</v>
      </c>
      <c r="AQ19" s="78" t="n">
        <f aca="false">SUM(AQ7:AQ18)</f>
        <v>61348.5006387304</v>
      </c>
      <c r="AR19" s="68"/>
      <c r="AS19" s="68"/>
      <c r="AT19" s="68"/>
      <c r="AU19" s="68"/>
      <c r="AV19" s="68"/>
      <c r="AW19" s="68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</row>
    <row r="20" customFormat="false" ht="18" hidden="false" customHeight="true" outlineLevel="0" collapsed="false">
      <c r="B20" s="2"/>
      <c r="C20" s="2"/>
      <c r="D20" s="2"/>
      <c r="E20" s="2"/>
      <c r="F20" s="2"/>
      <c r="G20" s="2"/>
      <c r="H20" s="79"/>
      <c r="I20" s="2"/>
      <c r="J20" s="2"/>
      <c r="O20" s="2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D20" s="54"/>
      <c r="AE20" s="54"/>
      <c r="AF20" s="54"/>
      <c r="AG20" s="54"/>
      <c r="AH20" s="54"/>
      <c r="AS20" s="139"/>
      <c r="AT20" s="139"/>
      <c r="AU20" s="139"/>
      <c r="AV20" s="139"/>
      <c r="AW20" s="139"/>
    </row>
    <row r="21" customFormat="false" ht="39.75" hidden="false" customHeight="true" outlineLevel="0" collapsed="false">
      <c r="B21" s="45" t="s">
        <v>30</v>
      </c>
      <c r="C21" s="81" t="str">
        <f aca="false">'Base Maringá'!C22</f>
        <v>Oficial de Manutenção Predial</v>
      </c>
      <c r="D21" s="81" t="str">
        <f aca="false">'Base Maringá'!D22</f>
        <v>Ajudante (ref SINAPI/88241)</v>
      </c>
      <c r="E21" s="140" t="str">
        <f aca="false">'Base Maringá'!E22</f>
        <v>Eletrotécnico (ref. SINAPI/88266)</v>
      </c>
      <c r="N21" s="141"/>
      <c r="O21" s="142"/>
      <c r="R21" s="82"/>
      <c r="Z21" s="82"/>
      <c r="AA21" s="82"/>
      <c r="AB21" s="82"/>
      <c r="AC21" s="82"/>
    </row>
    <row r="22" customFormat="false" ht="18" hidden="false" customHeight="true" outlineLevel="0" collapsed="false">
      <c r="B22" s="45"/>
      <c r="C22" s="24" t="n">
        <f aca="false">'Base Maringá'!C23</f>
        <v>31.12</v>
      </c>
      <c r="D22" s="24" t="n">
        <f aca="false">'Base Maringá'!D23</f>
        <v>24.66</v>
      </c>
      <c r="E22" s="24" t="n">
        <f aca="false">'Base Maringá'!E23</f>
        <v>36.51</v>
      </c>
      <c r="N22" s="141"/>
      <c r="O22" s="142"/>
    </row>
    <row r="23" customFormat="false" ht="40.5" hidden="false" customHeight="true" outlineLevel="0" collapsed="false">
      <c r="B23" s="49" t="str">
        <f aca="false">'Base Maringá'!B24</f>
        <v>* Tabela SINAPI Outubro/2023 (Desonerado)</v>
      </c>
      <c r="N23" s="142"/>
      <c r="O23" s="142"/>
    </row>
    <row r="24" customFormat="false" ht="13.5" hidden="false" customHeight="false" outlineLevel="0" collapsed="false">
      <c r="N24" s="142"/>
      <c r="O24" s="142"/>
    </row>
    <row r="25" customFormat="false" ht="13.5" hidden="false" customHeight="false" outlineLevel="0" collapsed="false">
      <c r="N25" s="142"/>
      <c r="O25" s="142"/>
    </row>
    <row r="26" customFormat="false" ht="15.75" hidden="false" customHeight="true" outlineLevel="0" collapsed="false">
      <c r="N26" s="142"/>
      <c r="O26" s="142"/>
    </row>
    <row r="27" customFormat="false" ht="13.5" hidden="false" customHeight="false" outlineLevel="0" collapsed="false">
      <c r="N27" s="142"/>
      <c r="O27" s="142"/>
    </row>
    <row r="28" customFormat="false" ht="13.5" hidden="false" customHeight="false" outlineLevel="0" collapsed="false">
      <c r="N28" s="142"/>
      <c r="O28" s="142"/>
    </row>
    <row r="29" customFormat="false" ht="13.5" hidden="false" customHeight="false" outlineLevel="0" collapsed="false">
      <c r="N29" s="142"/>
      <c r="O29" s="142"/>
    </row>
    <row r="30" customFormat="false" ht="13.5" hidden="false" customHeight="false" outlineLevel="0" collapsed="false">
      <c r="N30" s="142"/>
      <c r="O30" s="142"/>
    </row>
    <row r="31" customFormat="false" ht="13.5" hidden="false" customHeight="false" outlineLevel="0" collapsed="false">
      <c r="N31" s="142"/>
      <c r="O31" s="142"/>
    </row>
    <row r="65529" customFormat="false" ht="12.75" hidden="false" customHeight="true" outlineLevel="0" collapsed="false"/>
    <row r="65530" customFormat="false" ht="12.75" hidden="false" customHeight="true" outlineLevel="0" collapsed="false"/>
    <row r="65531" customFormat="false" ht="12.75" hidden="false" customHeight="true" outlineLevel="0" collapsed="false"/>
  </sheetData>
  <mergeCells count="45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9:AJ19"/>
    <mergeCell ref="B21:B22"/>
    <mergeCell ref="N21:N22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Z54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S6" activeCellId="0" sqref="S6"/>
    </sheetView>
  </sheetViews>
  <sheetFormatPr defaultColWidth="10.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4" width="12.62"/>
    <col collapsed="false" customWidth="true" hidden="false" outlineLevel="0" max="3" min="3" style="84" width="32.62"/>
    <col collapsed="false" customWidth="true" hidden="false" outlineLevel="0" max="17" min="4" style="84" width="9.62"/>
    <col collapsed="false" customWidth="true" hidden="false" outlineLevel="0" max="18" min="18" style="84" width="10.75"/>
    <col collapsed="false" customWidth="true" hidden="false" outlineLevel="0" max="19" min="19" style="84" width="12.5"/>
    <col collapsed="false" customWidth="true" hidden="false" outlineLevel="0" max="66" min="20" style="84" width="10.75"/>
    <col collapsed="false" customWidth="true" hidden="false" outlineLevel="0" max="257" min="67" style="83" width="10.7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43" t="str">
        <f aca="false">"DESLOCAMENTO BASE "&amp;Resumo!B6</f>
        <v>DESLOCAMENTO BASE CASCAVEL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customFormat="false" ht="15" hidden="false" customHeight="true" outlineLevel="0" collapsed="false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customFormat="false" ht="48" hidden="false" customHeight="true" outlineLevel="0" collapsed="false">
      <c r="B4" s="21" t="s">
        <v>104</v>
      </c>
      <c r="C4" s="21" t="str">
        <f aca="false">"Rota (saída e retorno "&amp;Resumo!B6&amp;")"</f>
        <v>Rota (saída e retorno CASCAVEL)</v>
      </c>
      <c r="D4" s="21" t="s">
        <v>105</v>
      </c>
      <c r="E4" s="21" t="s">
        <v>106</v>
      </c>
      <c r="F4" s="21" t="s">
        <v>107</v>
      </c>
      <c r="G4" s="21" t="s">
        <v>108</v>
      </c>
      <c r="H4" s="21" t="s">
        <v>109</v>
      </c>
      <c r="I4" s="21" t="s">
        <v>110</v>
      </c>
      <c r="J4" s="21" t="s">
        <v>111</v>
      </c>
      <c r="K4" s="21" t="s">
        <v>112</v>
      </c>
      <c r="L4" s="21" t="s">
        <v>113</v>
      </c>
      <c r="M4" s="86" t="s">
        <v>151</v>
      </c>
      <c r="N4" s="21" t="s">
        <v>115</v>
      </c>
      <c r="O4" s="21" t="s">
        <v>116</v>
      </c>
      <c r="P4" s="21" t="s">
        <v>117</v>
      </c>
      <c r="Q4" s="21" t="s">
        <v>66</v>
      </c>
      <c r="R4" s="21" t="s">
        <v>118</v>
      </c>
      <c r="S4" s="21" t="s">
        <v>119</v>
      </c>
    </row>
    <row r="5" customFormat="false" ht="15.75" hidden="false" customHeight="true" outlineLevel="0" collapsed="false">
      <c r="B5" s="87" t="n">
        <v>1</v>
      </c>
      <c r="C5" s="88" t="s">
        <v>140</v>
      </c>
      <c r="D5" s="89" t="n">
        <v>0</v>
      </c>
      <c r="E5" s="89" t="n">
        <v>0</v>
      </c>
      <c r="F5" s="89" t="n">
        <v>0</v>
      </c>
      <c r="G5" s="90" t="n">
        <v>0</v>
      </c>
      <c r="H5" s="89" t="n">
        <v>0</v>
      </c>
      <c r="I5" s="89" t="n">
        <v>0</v>
      </c>
      <c r="J5" s="89" t="n">
        <v>0</v>
      </c>
      <c r="K5" s="91" t="n">
        <f aca="false">SUM(H5:J5)</f>
        <v>0</v>
      </c>
      <c r="L5" s="92" t="n">
        <f aca="false">K5/60</f>
        <v>0</v>
      </c>
      <c r="M5" s="93" t="n">
        <v>0</v>
      </c>
      <c r="N5" s="91" t="n">
        <v>1</v>
      </c>
      <c r="O5" s="92" t="n">
        <f aca="false">L5/N5</f>
        <v>0</v>
      </c>
      <c r="P5" s="94" t="n">
        <v>0</v>
      </c>
      <c r="Q5" s="94" t="n">
        <v>0</v>
      </c>
      <c r="R5" s="95" t="str">
        <f aca="false">INDEX('Base Cascavel'!$K$7:$K$19,MATCH('Desl. Base Cascavel'!C5,'Base Cascavel'!$B$7:$B$19,0))</f>
        <v>NÃO</v>
      </c>
      <c r="S5" s="96" t="n">
        <v>0</v>
      </c>
    </row>
    <row r="6" customFormat="false" ht="15.75" hidden="false" customHeight="true" outlineLevel="0" collapsed="false">
      <c r="B6" s="87"/>
      <c r="C6" s="88" t="s">
        <v>141</v>
      </c>
      <c r="D6" s="89" t="n">
        <v>0.55</v>
      </c>
      <c r="E6" s="89" t="n">
        <v>0.6</v>
      </c>
      <c r="F6" s="89" t="n">
        <v>0</v>
      </c>
      <c r="G6" s="90" t="n">
        <f aca="false">SUM(D6:F7)</f>
        <v>171.95</v>
      </c>
      <c r="H6" s="89" t="n">
        <v>2</v>
      </c>
      <c r="I6" s="89" t="n">
        <v>2</v>
      </c>
      <c r="J6" s="89" t="n">
        <v>0</v>
      </c>
      <c r="K6" s="91" t="n">
        <f aca="false">SUM(H6:J7)</f>
        <v>159</v>
      </c>
      <c r="L6" s="92" t="n">
        <f aca="false">K6/60</f>
        <v>2.65</v>
      </c>
      <c r="M6" s="93" t="n">
        <v>0</v>
      </c>
      <c r="N6" s="91" t="n">
        <v>1</v>
      </c>
      <c r="O6" s="92" t="n">
        <f aca="false">L6/N6</f>
        <v>2.65</v>
      </c>
      <c r="P6" s="94" t="n">
        <v>0</v>
      </c>
      <c r="Q6" s="94" t="n">
        <v>0</v>
      </c>
      <c r="R6" s="95" t="str">
        <f aca="false">INDEX('Base Cascavel'!$K$7:$K$19,MATCH('Desl. Base Cascavel'!C6,'Base Cascavel'!$B$7:$B$19,0))</f>
        <v>SIM</v>
      </c>
      <c r="S6" s="96" t="n">
        <v>1</v>
      </c>
    </row>
    <row r="7" customFormat="false" ht="15.75" hidden="false" customHeight="true" outlineLevel="0" collapsed="false">
      <c r="B7" s="87" t="n">
        <v>2</v>
      </c>
      <c r="C7" s="88" t="s">
        <v>142</v>
      </c>
      <c r="D7" s="89" t="n">
        <v>45.4</v>
      </c>
      <c r="E7" s="89" t="n">
        <f aca="false">86.6-D7</f>
        <v>41.2</v>
      </c>
      <c r="F7" s="89" t="n">
        <v>84.2</v>
      </c>
      <c r="G7" s="97" t="n">
        <f aca="false">SUM(D7:F8)</f>
        <v>170.8</v>
      </c>
      <c r="H7" s="89" t="n">
        <v>42</v>
      </c>
      <c r="I7" s="89" t="n">
        <f aca="false">81-H7</f>
        <v>39</v>
      </c>
      <c r="J7" s="89" t="n">
        <v>74</v>
      </c>
      <c r="K7" s="91" t="n">
        <f aca="false">SUM(H7:J8)</f>
        <v>155</v>
      </c>
      <c r="L7" s="98" t="n">
        <f aca="false">K7/60</f>
        <v>2.58333333333333</v>
      </c>
      <c r="M7" s="93" t="n">
        <v>0</v>
      </c>
      <c r="N7" s="91" t="n">
        <v>2</v>
      </c>
      <c r="O7" s="92" t="n">
        <f aca="false">L7/N7</f>
        <v>1.29166666666667</v>
      </c>
      <c r="P7" s="93" t="n">
        <v>0</v>
      </c>
      <c r="Q7" s="93" t="n">
        <v>0</v>
      </c>
      <c r="R7" s="95" t="str">
        <f aca="false">INDEX('Base Cascavel'!$K$7:$K$19,MATCH('Desl. Base Cascavel'!C7,'Base Cascavel'!$B$7:$B$19,0))</f>
        <v>SIM</v>
      </c>
      <c r="S7" s="96" t="n">
        <v>1</v>
      </c>
    </row>
    <row r="8" customFormat="false" ht="15.75" hidden="false" customHeight="true" outlineLevel="0" collapsed="false">
      <c r="B8" s="87"/>
      <c r="C8" s="88" t="s">
        <v>143</v>
      </c>
      <c r="D8" s="89"/>
      <c r="E8" s="89"/>
      <c r="F8" s="89"/>
      <c r="G8" s="97"/>
      <c r="H8" s="89"/>
      <c r="I8" s="89"/>
      <c r="J8" s="89"/>
      <c r="K8" s="91"/>
      <c r="L8" s="98"/>
      <c r="M8" s="93"/>
      <c r="N8" s="91"/>
      <c r="O8" s="92" t="n">
        <f aca="false">O7</f>
        <v>1.29166666666667</v>
      </c>
      <c r="P8" s="93" t="n">
        <v>0</v>
      </c>
      <c r="Q8" s="93" t="n">
        <v>0</v>
      </c>
      <c r="R8" s="95" t="str">
        <f aca="false">INDEX('Base Cascavel'!$K$7:$K$19,MATCH('Desl. Base Cascavel'!C8,'Base Cascavel'!$B$7:$B$19,0))</f>
        <v>NÃO</v>
      </c>
      <c r="S8" s="96" t="n">
        <v>1</v>
      </c>
    </row>
    <row r="9" customFormat="false" ht="15.75" hidden="false" customHeight="true" outlineLevel="0" collapsed="false">
      <c r="B9" s="87" t="n">
        <v>3</v>
      </c>
      <c r="C9" s="88" t="s">
        <v>144</v>
      </c>
      <c r="D9" s="89" t="n">
        <v>85.1</v>
      </c>
      <c r="E9" s="89" t="n">
        <f aca="false">156-D9</f>
        <v>70.9</v>
      </c>
      <c r="F9" s="89" t="n">
        <v>121</v>
      </c>
      <c r="G9" s="97" t="n">
        <f aca="false">SUM(D9:F10)</f>
        <v>277</v>
      </c>
      <c r="H9" s="89" t="n">
        <v>69</v>
      </c>
      <c r="I9" s="89" t="n">
        <f aca="false">137-H9</f>
        <v>68</v>
      </c>
      <c r="J9" s="89" t="n">
        <v>107</v>
      </c>
      <c r="K9" s="91" t="n">
        <f aca="false">SUM(H9:J10)</f>
        <v>244</v>
      </c>
      <c r="L9" s="98" t="n">
        <f aca="false">K9/60</f>
        <v>4.06666666666667</v>
      </c>
      <c r="M9" s="93" t="n">
        <v>0</v>
      </c>
      <c r="N9" s="91" t="n">
        <v>2</v>
      </c>
      <c r="O9" s="92" t="n">
        <f aca="false">L9/N9</f>
        <v>2.03333333333333</v>
      </c>
      <c r="P9" s="93" t="n">
        <v>0</v>
      </c>
      <c r="Q9" s="93" t="n">
        <v>0</v>
      </c>
      <c r="R9" s="95" t="str">
        <f aca="false">INDEX('Base Cascavel'!$K$7:$K$19,MATCH('Desl. Base Cascavel'!C9,'Base Cascavel'!$B$7:$B$19,0))</f>
        <v>NÃO</v>
      </c>
      <c r="S9" s="96" t="n">
        <v>1</v>
      </c>
    </row>
    <row r="10" customFormat="false" ht="15.75" hidden="false" customHeight="true" outlineLevel="0" collapsed="false">
      <c r="B10" s="87"/>
      <c r="C10" s="88" t="s">
        <v>139</v>
      </c>
      <c r="D10" s="89"/>
      <c r="E10" s="89"/>
      <c r="F10" s="89"/>
      <c r="G10" s="97"/>
      <c r="H10" s="89"/>
      <c r="I10" s="89"/>
      <c r="J10" s="89"/>
      <c r="K10" s="91"/>
      <c r="L10" s="98"/>
      <c r="M10" s="93" t="n">
        <v>0</v>
      </c>
      <c r="N10" s="91"/>
      <c r="O10" s="92" t="n">
        <f aca="false">O9</f>
        <v>2.03333333333333</v>
      </c>
      <c r="P10" s="93" t="n">
        <v>0</v>
      </c>
      <c r="Q10" s="93" t="n">
        <v>0</v>
      </c>
      <c r="R10" s="95" t="str">
        <f aca="false">INDEX('Base Cascavel'!$K$7:$K$19,MATCH('Desl. Base Cascavel'!C10,'Base Cascavel'!$B$7:$B$19,0))</f>
        <v>SIM</v>
      </c>
      <c r="S10" s="96" t="n">
        <v>1</v>
      </c>
    </row>
    <row r="11" customFormat="false" ht="15.75" hidden="false" customHeight="true" outlineLevel="0" collapsed="false">
      <c r="B11" s="87" t="n">
        <v>4</v>
      </c>
      <c r="C11" s="88" t="s">
        <v>145</v>
      </c>
      <c r="D11" s="89" t="n">
        <v>98.2</v>
      </c>
      <c r="E11" s="89" t="n">
        <f aca="false">165-D11</f>
        <v>66.8</v>
      </c>
      <c r="F11" s="89" t="n">
        <v>148</v>
      </c>
      <c r="G11" s="97" t="n">
        <f aca="false">SUM(D11:F12)</f>
        <v>313</v>
      </c>
      <c r="H11" s="89" t="n">
        <v>77</v>
      </c>
      <c r="I11" s="89" t="n">
        <f aca="false">145-H11</f>
        <v>68</v>
      </c>
      <c r="J11" s="89" t="n">
        <v>122</v>
      </c>
      <c r="K11" s="91" t="n">
        <f aca="false">SUM(H11:J12)</f>
        <v>267</v>
      </c>
      <c r="L11" s="98" t="n">
        <f aca="false">K11/60</f>
        <v>4.45</v>
      </c>
      <c r="M11" s="93" t="n">
        <v>0</v>
      </c>
      <c r="N11" s="91" t="n">
        <v>2</v>
      </c>
      <c r="O11" s="92" t="n">
        <f aca="false">L11/N11</f>
        <v>2.225</v>
      </c>
      <c r="P11" s="93" t="n">
        <v>0</v>
      </c>
      <c r="Q11" s="93" t="n">
        <v>0</v>
      </c>
      <c r="R11" s="95" t="str">
        <f aca="false">INDEX('Base Cascavel'!$K$7:$K$19,MATCH('Desl. Base Cascavel'!C11,'Base Cascavel'!$B$7:$B$19,0))</f>
        <v>NÃO</v>
      </c>
      <c r="S11" s="96" t="n">
        <v>0</v>
      </c>
    </row>
    <row r="12" customFormat="false" ht="15.75" hidden="false" customHeight="true" outlineLevel="0" collapsed="false">
      <c r="B12" s="87"/>
      <c r="C12" s="88" t="s">
        <v>146</v>
      </c>
      <c r="D12" s="89"/>
      <c r="E12" s="89"/>
      <c r="F12" s="89"/>
      <c r="G12" s="97"/>
      <c r="H12" s="89"/>
      <c r="I12" s="89"/>
      <c r="J12" s="89"/>
      <c r="K12" s="91"/>
      <c r="L12" s="98"/>
      <c r="M12" s="93"/>
      <c r="N12" s="91"/>
      <c r="O12" s="92" t="n">
        <f aca="false">O11</f>
        <v>2.225</v>
      </c>
      <c r="P12" s="93" t="n">
        <v>0</v>
      </c>
      <c r="Q12" s="93" t="n">
        <v>0</v>
      </c>
      <c r="R12" s="95" t="str">
        <f aca="false">INDEX('Base Cascavel'!$K$7:$K$19,MATCH('Desl. Base Cascavel'!C12,'Base Cascavel'!$B$7:$B$19,0))</f>
        <v>NÃO</v>
      </c>
      <c r="S12" s="96" t="n">
        <v>0</v>
      </c>
    </row>
    <row r="13" customFormat="false" ht="15.75" hidden="false" customHeight="true" outlineLevel="0" collapsed="false">
      <c r="B13" s="87" t="n">
        <v>5</v>
      </c>
      <c r="C13" s="88" t="s">
        <v>147</v>
      </c>
      <c r="D13" s="89" t="n">
        <v>82.4</v>
      </c>
      <c r="E13" s="89" t="n">
        <f aca="false">100-D13</f>
        <v>17.6</v>
      </c>
      <c r="F13" s="89" t="n">
        <v>99.5</v>
      </c>
      <c r="G13" s="97" t="n">
        <f aca="false">SUM(D13:F14)</f>
        <v>199.5</v>
      </c>
      <c r="H13" s="89" t="n">
        <v>73</v>
      </c>
      <c r="I13" s="89" t="n">
        <f aca="false">90-H13</f>
        <v>17</v>
      </c>
      <c r="J13" s="89" t="n">
        <v>89</v>
      </c>
      <c r="K13" s="91" t="n">
        <f aca="false">SUM(H13:J14)</f>
        <v>179</v>
      </c>
      <c r="L13" s="98" t="n">
        <f aca="false">K13/60</f>
        <v>2.98333333333333</v>
      </c>
      <c r="M13" s="93" t="n">
        <v>0</v>
      </c>
      <c r="N13" s="91" t="n">
        <v>2</v>
      </c>
      <c r="O13" s="92" t="n">
        <f aca="false">L13/N13</f>
        <v>1.49166666666667</v>
      </c>
      <c r="P13" s="93" t="n">
        <v>0</v>
      </c>
      <c r="Q13" s="93" t="n">
        <v>0</v>
      </c>
      <c r="R13" s="95" t="str">
        <f aca="false">INDEX('Base Cascavel'!$K$7:$K$19,MATCH('Desl. Base Cascavel'!C13,'Base Cascavel'!$B$7:$B$19,0))</f>
        <v>NÃO</v>
      </c>
      <c r="S13" s="96" t="n">
        <v>0</v>
      </c>
    </row>
    <row r="14" customFormat="false" ht="15.75" hidden="false" customHeight="true" outlineLevel="0" collapsed="false">
      <c r="B14" s="87"/>
      <c r="C14" s="88" t="s">
        <v>148</v>
      </c>
      <c r="D14" s="89"/>
      <c r="E14" s="89"/>
      <c r="F14" s="89"/>
      <c r="G14" s="97"/>
      <c r="H14" s="89"/>
      <c r="I14" s="89"/>
      <c r="J14" s="89"/>
      <c r="K14" s="91"/>
      <c r="L14" s="98"/>
      <c r="M14" s="93"/>
      <c r="N14" s="91"/>
      <c r="O14" s="92" t="n">
        <f aca="false">O13</f>
        <v>1.49166666666667</v>
      </c>
      <c r="P14" s="93" t="n">
        <v>0</v>
      </c>
      <c r="Q14" s="93" t="n">
        <v>0</v>
      </c>
      <c r="R14" s="95" t="str">
        <f aca="false">INDEX('Base Cascavel'!$K$7:$K$19,MATCH('Desl. Base Cascavel'!C14,'Base Cascavel'!$B$7:$B$19,0))</f>
        <v>NÃO</v>
      </c>
      <c r="S14" s="96" t="n">
        <v>0</v>
      </c>
    </row>
    <row r="15" customFormat="false" ht="15.75" hidden="false" customHeight="true" outlineLevel="0" collapsed="false">
      <c r="B15" s="87" t="n">
        <v>6</v>
      </c>
      <c r="C15" s="88" t="s">
        <v>149</v>
      </c>
      <c r="D15" s="89" t="n">
        <v>139</v>
      </c>
      <c r="E15" s="89" t="n">
        <v>140</v>
      </c>
      <c r="F15" s="89" t="n">
        <v>0</v>
      </c>
      <c r="G15" s="97" t="n">
        <f aca="false">SUM(D15:F15)</f>
        <v>279</v>
      </c>
      <c r="H15" s="89" t="n">
        <v>114</v>
      </c>
      <c r="I15" s="89" t="n">
        <v>121</v>
      </c>
      <c r="J15" s="89" t="n">
        <v>0</v>
      </c>
      <c r="K15" s="91" t="n">
        <f aca="false">SUM(H15:J15)</f>
        <v>235</v>
      </c>
      <c r="L15" s="92" t="n">
        <f aca="false">K15/60</f>
        <v>3.91666666666667</v>
      </c>
      <c r="M15" s="93" t="n">
        <v>0</v>
      </c>
      <c r="N15" s="91" t="n">
        <v>1</v>
      </c>
      <c r="O15" s="92" t="n">
        <f aca="false">L15/N15</f>
        <v>3.91666666666667</v>
      </c>
      <c r="P15" s="93" t="n">
        <v>0</v>
      </c>
      <c r="Q15" s="93" t="n">
        <v>0</v>
      </c>
      <c r="R15" s="95" t="str">
        <f aca="false">INDEX('Base Cascavel'!$K$7:$K$19,MATCH('Desl. Base Cascavel'!C15,'Base Cascavel'!$B$7:$B$19,0))</f>
        <v>SIM</v>
      </c>
      <c r="S15" s="96" t="n">
        <v>1</v>
      </c>
    </row>
    <row r="16" customFormat="false" ht="15.75" hidden="false" customHeight="true" outlineLevel="0" collapsed="false">
      <c r="B16" s="87" t="n">
        <v>7</v>
      </c>
      <c r="C16" s="88" t="s">
        <v>150</v>
      </c>
      <c r="D16" s="89" t="n">
        <v>126</v>
      </c>
      <c r="E16" s="89" t="n">
        <v>127</v>
      </c>
      <c r="F16" s="89" t="n">
        <v>0</v>
      </c>
      <c r="G16" s="97" t="n">
        <f aca="false">SUM(D16:F16)</f>
        <v>253</v>
      </c>
      <c r="H16" s="144" t="n">
        <v>104</v>
      </c>
      <c r="I16" s="144" t="n">
        <v>107</v>
      </c>
      <c r="J16" s="144" t="n">
        <v>0</v>
      </c>
      <c r="K16" s="91" t="n">
        <f aca="false">SUM(H16:J16)</f>
        <v>211</v>
      </c>
      <c r="L16" s="145" t="n">
        <f aca="false">K16/60</f>
        <v>3.51666666666667</v>
      </c>
      <c r="M16" s="93" t="n">
        <v>0</v>
      </c>
      <c r="N16" s="91" t="n">
        <v>1</v>
      </c>
      <c r="O16" s="145" t="n">
        <f aca="false">L16/N16</f>
        <v>3.51666666666667</v>
      </c>
      <c r="P16" s="93" t="n">
        <v>0</v>
      </c>
      <c r="Q16" s="93" t="n">
        <v>0</v>
      </c>
      <c r="R16" s="95" t="str">
        <f aca="false">INDEX('Base Cascavel'!$K$7:$K$19,MATCH('Desl. Base Cascavel'!C16,'Base Cascavel'!$B$7:$B$19,0))</f>
        <v>NÃO</v>
      </c>
      <c r="S16" s="96" t="n">
        <v>0</v>
      </c>
    </row>
    <row r="17" customFormat="false" ht="21" hidden="false" customHeight="true" outlineLevel="0" collapsed="false">
      <c r="B17" s="99" t="s">
        <v>100</v>
      </c>
      <c r="C17" s="99"/>
      <c r="D17" s="99"/>
      <c r="E17" s="99"/>
      <c r="F17" s="99"/>
      <c r="G17" s="101" t="n">
        <f aca="false">SUM(G5:G16)</f>
        <v>1664.25</v>
      </c>
      <c r="H17" s="101" t="s">
        <v>100</v>
      </c>
      <c r="I17" s="101"/>
      <c r="J17" s="101"/>
      <c r="K17" s="102" t="n">
        <f aca="false">SUM(K5:K16)</f>
        <v>1450</v>
      </c>
      <c r="L17" s="101" t="n">
        <f aca="false">SUM(L5:L16)</f>
        <v>24.1666666666667</v>
      </c>
      <c r="M17" s="104" t="n">
        <f aca="false">SUM(M5:M16)</f>
        <v>0</v>
      </c>
      <c r="N17" s="102" t="n">
        <f aca="false">SUM(N5:N16)</f>
        <v>12</v>
      </c>
      <c r="O17" s="101"/>
      <c r="P17" s="104"/>
      <c r="Q17" s="104" t="n">
        <v>0</v>
      </c>
    </row>
    <row r="18" customFormat="false" ht="15.75" hidden="false" customHeight="true" outlineLevel="0" collapsed="false">
      <c r="B18" s="106"/>
      <c r="C18" s="106"/>
      <c r="D18" s="106"/>
      <c r="E18" s="106"/>
      <c r="F18" s="83"/>
      <c r="G18" s="83"/>
      <c r="H18" s="83"/>
      <c r="I18" s="83"/>
      <c r="J18" s="83"/>
      <c r="K18" s="83"/>
      <c r="L18" s="83"/>
      <c r="M18" s="83"/>
      <c r="N18" s="83"/>
    </row>
    <row r="19" customFormat="false" ht="18.75" hidden="false" customHeight="true" outlineLevel="0" collapsed="false">
      <c r="B19" s="107" t="s">
        <v>120</v>
      </c>
      <c r="C19" s="107"/>
      <c r="D19" s="107"/>
      <c r="E19" s="107"/>
      <c r="F19" s="106"/>
      <c r="G19" s="106"/>
      <c r="H19" s="106"/>
      <c r="I19" s="106"/>
      <c r="J19" s="106"/>
      <c r="K19" s="106"/>
      <c r="L19" s="106"/>
      <c r="M19" s="106"/>
      <c r="N19" s="106"/>
    </row>
    <row r="20" customFormat="false" ht="18.75" hidden="false" customHeight="true" outlineLevel="0" collapsed="false">
      <c r="B20" s="129" t="s">
        <v>121</v>
      </c>
      <c r="C20" s="129" t="s">
        <v>122</v>
      </c>
      <c r="D20" s="129" t="s">
        <v>123</v>
      </c>
      <c r="E20" s="129" t="s">
        <v>124</v>
      </c>
      <c r="F20" s="106"/>
      <c r="G20" s="108"/>
      <c r="H20" s="108"/>
      <c r="I20" s="106"/>
      <c r="J20" s="106"/>
      <c r="K20" s="106"/>
      <c r="L20" s="106"/>
      <c r="M20" s="106"/>
      <c r="N20" s="106"/>
    </row>
    <row r="21" customFormat="false" ht="18.75" hidden="false" customHeight="true" outlineLevel="0" collapsed="false">
      <c r="B21" s="48" t="s">
        <v>125</v>
      </c>
      <c r="C21" s="110" t="s">
        <v>126</v>
      </c>
      <c r="D21" s="48" t="s">
        <v>127</v>
      </c>
      <c r="E21" s="111" t="n">
        <f aca="false">'Desl. Base Maringá'!E22</f>
        <v>52.69</v>
      </c>
      <c r="F21" s="106"/>
      <c r="G21" s="112"/>
      <c r="H21" s="112"/>
      <c r="I21" s="106"/>
      <c r="J21" s="106"/>
      <c r="K21" s="146"/>
      <c r="L21" s="146"/>
    </row>
    <row r="22" customFormat="false" ht="18.75" hidden="false" customHeight="true" outlineLevel="0" collapsed="false">
      <c r="B22" s="113" t="s">
        <v>128</v>
      </c>
      <c r="C22" s="114" t="s">
        <v>126</v>
      </c>
      <c r="D22" s="113" t="s">
        <v>129</v>
      </c>
      <c r="E22" s="115" t="n">
        <f aca="false">'Desl. Base Maringá'!E23</f>
        <v>6.95</v>
      </c>
      <c r="F22" s="106"/>
      <c r="G22" s="112"/>
      <c r="H22" s="112"/>
      <c r="I22" s="106"/>
      <c r="J22" s="106"/>
      <c r="K22" s="146"/>
      <c r="L22" s="146"/>
    </row>
    <row r="23" customFormat="false" ht="47.25" hidden="false" customHeight="true" outlineLevel="0" collapsed="false">
      <c r="B23" s="116" t="s">
        <v>130</v>
      </c>
      <c r="C23" s="116"/>
      <c r="D23" s="116"/>
      <c r="E23" s="116"/>
      <c r="F23" s="117"/>
      <c r="G23" s="117"/>
      <c r="H23" s="117"/>
      <c r="I23" s="117"/>
      <c r="J23" s="117"/>
      <c r="K23" s="117"/>
      <c r="L23" s="146"/>
    </row>
    <row r="24" customFormat="false" ht="18.75" hidden="false" customHeight="true" outlineLevel="0" collapsed="false">
      <c r="B24" s="118"/>
      <c r="C24" s="118"/>
      <c r="D24" s="118"/>
      <c r="E24" s="118"/>
      <c r="F24" s="117"/>
      <c r="G24" s="117"/>
      <c r="H24" s="117"/>
      <c r="I24" s="117"/>
      <c r="J24" s="117"/>
      <c r="K24" s="117"/>
      <c r="L24" s="146"/>
    </row>
    <row r="25" customFormat="false" ht="15.75" hidden="false" customHeight="true" outlineLevel="0" collapsed="false">
      <c r="B25" s="107" t="s">
        <v>131</v>
      </c>
      <c r="C25" s="107"/>
      <c r="D25" s="106"/>
      <c r="E25" s="106"/>
      <c r="F25" s="106"/>
      <c r="G25" s="106"/>
      <c r="H25" s="106"/>
      <c r="I25" s="106"/>
      <c r="J25" s="106"/>
      <c r="K25" s="106"/>
      <c r="L25" s="106"/>
    </row>
    <row r="26" customFormat="false" ht="15.75" hidden="false" customHeight="true" outlineLevel="0" collapsed="false">
      <c r="B26" s="147" t="s">
        <v>127</v>
      </c>
      <c r="C26" s="148" t="n">
        <f aca="false">E21*L17</f>
        <v>1273.34166666667</v>
      </c>
      <c r="D26" s="106"/>
      <c r="E26" s="106"/>
      <c r="F26" s="106"/>
      <c r="G26" s="106"/>
      <c r="H26" s="106"/>
      <c r="I26" s="106"/>
      <c r="J26" s="106"/>
    </row>
    <row r="27" customFormat="false" ht="15.75" hidden="false" customHeight="true" outlineLevel="0" collapsed="false">
      <c r="B27" s="48" t="s">
        <v>129</v>
      </c>
      <c r="C27" s="111" t="n">
        <f aca="false">E22*('Base Cascavel'!N19/12)</f>
        <v>282.749166666667</v>
      </c>
      <c r="D27" s="106"/>
      <c r="E27" s="106"/>
      <c r="F27" s="106"/>
      <c r="G27" s="106"/>
      <c r="H27" s="106"/>
      <c r="I27" s="106"/>
      <c r="J27" s="106"/>
    </row>
    <row r="28" customFormat="false" ht="15.75" hidden="false" customHeight="true" outlineLevel="0" collapsed="false">
      <c r="B28" s="119" t="s">
        <v>28</v>
      </c>
      <c r="C28" s="120" t="n">
        <f aca="false">C26+C27</f>
        <v>1556.09083333333</v>
      </c>
      <c r="D28" s="106"/>
      <c r="E28" s="106"/>
      <c r="F28" s="106"/>
      <c r="G28" s="106"/>
      <c r="H28" s="106"/>
      <c r="I28" s="83"/>
      <c r="J28" s="83"/>
    </row>
    <row r="29" customFormat="false" ht="15.75" hidden="false" customHeight="true" outlineLevel="0" collapsed="false">
      <c r="B29" s="149"/>
      <c r="C29" s="149"/>
      <c r="D29" s="106"/>
      <c r="H29" s="83"/>
      <c r="I29" s="83"/>
    </row>
    <row r="30" customFormat="false" ht="15.75" hidden="false" customHeight="true" outlineLevel="0" collapsed="false">
      <c r="B30" s="122" t="s">
        <v>132</v>
      </c>
      <c r="C30" s="122"/>
      <c r="D30" s="106"/>
      <c r="H30" s="83"/>
      <c r="I30" s="83"/>
    </row>
    <row r="31" customFormat="false" ht="15.75" hidden="false" customHeight="true" outlineLevel="0" collapsed="false">
      <c r="B31" s="129" t="s">
        <v>124</v>
      </c>
      <c r="C31" s="124" t="n">
        <f aca="false">SUM(M5:M16)</f>
        <v>0</v>
      </c>
      <c r="I31" s="106"/>
    </row>
    <row r="32" customFormat="false" ht="13.5" hidden="false" customHeight="false" outlineLevel="0" collapsed="false">
      <c r="B32" s="83"/>
      <c r="C32" s="83"/>
      <c r="D32" s="83"/>
    </row>
    <row r="33" customFormat="false" ht="13.5" hidden="false" customHeight="false" outlineLevel="0" collapsed="false">
      <c r="B33" s="126" t="s">
        <v>133</v>
      </c>
      <c r="C33" s="127"/>
      <c r="D33" s="83"/>
    </row>
    <row r="34" customFormat="false" ht="13.5" hidden="false" customHeight="false" outlineLevel="0" collapsed="false">
      <c r="B34" s="112"/>
      <c r="C34" s="106"/>
      <c r="D34" s="106"/>
    </row>
    <row r="35" customFormat="false" ht="13.5" hidden="false" customHeight="false" outlineLevel="0" collapsed="false">
      <c r="B35" s="128" t="s">
        <v>66</v>
      </c>
      <c r="C35" s="128"/>
      <c r="D35" s="128"/>
      <c r="E35" s="128"/>
      <c r="F35" s="83"/>
      <c r="G35" s="83"/>
      <c r="H35" s="83"/>
      <c r="I35" s="83"/>
      <c r="J35" s="83"/>
      <c r="K35" s="83"/>
      <c r="L35" s="83"/>
      <c r="M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IX35" s="83"/>
      <c r="IY35" s="83"/>
      <c r="IZ35" s="83"/>
    </row>
    <row r="36" customFormat="false" ht="13.5" hidden="false" customHeight="false" outlineLevel="0" collapsed="false">
      <c r="B36" s="129" t="s">
        <v>134</v>
      </c>
      <c r="C36" s="129" t="s">
        <v>122</v>
      </c>
      <c r="D36" s="129" t="s">
        <v>123</v>
      </c>
      <c r="E36" s="129" t="s">
        <v>124</v>
      </c>
      <c r="F36" s="83"/>
      <c r="G36" s="83"/>
      <c r="H36" s="83"/>
      <c r="I36" s="83"/>
      <c r="J36" s="83"/>
      <c r="K36" s="83"/>
      <c r="L36" s="83"/>
      <c r="M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IX36" s="83"/>
      <c r="IY36" s="83"/>
      <c r="IZ36" s="83"/>
    </row>
    <row r="37" customFormat="false" ht="26.25" hidden="false" customHeight="false" outlineLevel="0" collapsed="false">
      <c r="B37" s="113" t="s">
        <v>135</v>
      </c>
      <c r="C37" s="130" t="s">
        <v>136</v>
      </c>
      <c r="D37" s="113" t="s">
        <v>137</v>
      </c>
      <c r="E37" s="115" t="n">
        <v>132.74</v>
      </c>
      <c r="F37" s="83"/>
      <c r="G37" s="83"/>
      <c r="H37" s="83"/>
      <c r="I37" s="83"/>
      <c r="J37" s="83"/>
      <c r="K37" s="83"/>
      <c r="L37" s="83"/>
      <c r="M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IX37" s="83"/>
      <c r="IY37" s="83"/>
      <c r="IZ37" s="83"/>
    </row>
    <row r="38" customFormat="false" ht="13.5" hidden="false" customHeight="false" outlineLevel="0" collapsed="false">
      <c r="B38" s="131" t="s">
        <v>138</v>
      </c>
      <c r="C38" s="131"/>
      <c r="D38" s="131"/>
      <c r="E38" s="131"/>
      <c r="F38" s="83"/>
      <c r="G38" s="83"/>
      <c r="H38" s="83"/>
      <c r="I38" s="83"/>
      <c r="J38" s="83"/>
      <c r="K38" s="83"/>
      <c r="L38" s="83"/>
      <c r="M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  <c r="BM38" s="83"/>
      <c r="BN38" s="83"/>
      <c r="IX38" s="83"/>
      <c r="IY38" s="83"/>
      <c r="IZ38" s="83"/>
    </row>
    <row r="39" customFormat="false" ht="13.5" hidden="false" customHeight="false" outlineLevel="0" collapsed="false">
      <c r="B39" s="149"/>
      <c r="C39" s="106"/>
      <c r="D39" s="150"/>
    </row>
    <row r="40" customFormat="false" ht="13.5" hidden="false" customHeight="false" outlineLevel="0" collapsed="false">
      <c r="B40" s="83"/>
      <c r="C40" s="83"/>
      <c r="D40" s="83"/>
    </row>
    <row r="41" customFormat="false" ht="13.5" hidden="false" customHeight="false" outlineLevel="0" collapsed="false">
      <c r="B41" s="151"/>
      <c r="C41" s="83"/>
      <c r="D41" s="83"/>
    </row>
    <row r="42" customFormat="false" ht="13.5" hidden="false" customHeight="false" outlineLevel="0" collapsed="false">
      <c r="B42" s="112"/>
      <c r="C42" s="106"/>
      <c r="D42" s="106"/>
    </row>
    <row r="43" customFormat="false" ht="13.5" hidden="false" customHeight="false" outlineLevel="0" collapsed="false">
      <c r="B43" s="149"/>
      <c r="C43" s="106"/>
      <c r="D43" s="106"/>
    </row>
    <row r="44" customFormat="false" ht="13.5" hidden="false" customHeight="false" outlineLevel="0" collapsed="false">
      <c r="B44" s="106"/>
      <c r="C44" s="106"/>
      <c r="D44" s="112"/>
    </row>
    <row r="45" customFormat="false" ht="13.5" hidden="false" customHeight="false" outlineLevel="0" collapsed="false">
      <c r="B45" s="106"/>
      <c r="C45" s="106"/>
      <c r="D45" s="112"/>
    </row>
    <row r="46" customFormat="false" ht="13.5" hidden="false" customHeight="false" outlineLevel="0" collapsed="false">
      <c r="B46" s="149"/>
      <c r="C46" s="106"/>
      <c r="D46" s="150"/>
    </row>
    <row r="47" customFormat="false" ht="13.5" hidden="false" customHeight="false" outlineLevel="0" collapsed="false">
      <c r="B47" s="83"/>
      <c r="C47" s="83"/>
      <c r="D47" s="83"/>
    </row>
    <row r="48" customFormat="false" ht="13.5" hidden="false" customHeight="false" outlineLevel="0" collapsed="false">
      <c r="B48" s="151"/>
      <c r="C48" s="83"/>
      <c r="D48" s="83"/>
    </row>
    <row r="49" customFormat="false" ht="13.5" hidden="false" customHeight="false" outlineLevel="0" collapsed="false">
      <c r="B49" s="112"/>
      <c r="C49" s="106"/>
      <c r="D49" s="106"/>
    </row>
    <row r="50" customFormat="false" ht="13.5" hidden="false" customHeight="false" outlineLevel="0" collapsed="false">
      <c r="B50" s="149"/>
      <c r="C50" s="106"/>
      <c r="D50" s="106"/>
    </row>
    <row r="51" customFormat="false" ht="13.5" hidden="false" customHeight="false" outlineLevel="0" collapsed="false">
      <c r="B51" s="106"/>
      <c r="C51" s="106"/>
      <c r="D51" s="112"/>
    </row>
    <row r="52" customFormat="false" ht="13.5" hidden="false" customHeight="false" outlineLevel="0" collapsed="false">
      <c r="B52" s="106"/>
      <c r="C52" s="106"/>
      <c r="D52" s="112"/>
    </row>
    <row r="53" customFormat="false" ht="13.5" hidden="false" customHeight="false" outlineLevel="0" collapsed="false">
      <c r="B53" s="106"/>
      <c r="C53" s="106"/>
      <c r="D53" s="112"/>
    </row>
    <row r="54" customFormat="false" ht="13.5" hidden="false" customHeight="false" outlineLevel="0" collapsed="false">
      <c r="B54" s="149"/>
      <c r="C54" s="106"/>
      <c r="D54" s="150"/>
    </row>
  </sheetData>
  <mergeCells count="58">
    <mergeCell ref="B2:S2"/>
    <mergeCell ref="B5:B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7:F17"/>
    <mergeCell ref="H17:J17"/>
    <mergeCell ref="B19:E19"/>
    <mergeCell ref="B23:E23"/>
    <mergeCell ref="B25:C25"/>
    <mergeCell ref="B30:C30"/>
    <mergeCell ref="B35:E35"/>
    <mergeCell ref="B38:E38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7" colorId="64" zoomScale="108" zoomScaleNormal="108" zoomScalePageLayoutView="100" workbookViewId="0">
      <selection pane="topLeft" activeCell="D11" activeCellId="0" sqref="D11"/>
    </sheetView>
  </sheetViews>
  <sheetFormatPr defaultColWidth="8.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2" t="s">
        <v>152</v>
      </c>
      <c r="C2" s="152"/>
      <c r="D2" s="152"/>
      <c r="E2" s="152"/>
      <c r="F2" s="152"/>
      <c r="G2" s="152"/>
      <c r="H2" s="152"/>
      <c r="I2" s="152"/>
    </row>
    <row r="3" customFormat="false" ht="21" hidden="false" customHeight="true" outlineLevel="0" collapsed="false"/>
    <row r="4" customFormat="false" ht="16.5" hidden="false" customHeight="true" outlineLevel="0" collapsed="false">
      <c r="B4" s="153" t="s">
        <v>153</v>
      </c>
      <c r="C4" s="153"/>
      <c r="D4" s="153"/>
      <c r="E4" s="153"/>
      <c r="F4" s="153"/>
      <c r="G4" s="153"/>
      <c r="H4" s="153"/>
      <c r="I4" s="153"/>
    </row>
    <row r="5" customFormat="false" ht="16.5" hidden="false" customHeight="true" outlineLevel="0" collapsed="false">
      <c r="B5" s="154" t="s">
        <v>154</v>
      </c>
      <c r="C5" s="154"/>
      <c r="D5" s="155" t="s">
        <v>155</v>
      </c>
      <c r="E5" s="155"/>
      <c r="F5" s="155"/>
      <c r="G5" s="155"/>
      <c r="H5" s="155"/>
      <c r="I5" s="155"/>
    </row>
    <row r="6" customFormat="false" ht="16.5" hidden="false" customHeight="true" outlineLevel="0" collapsed="false">
      <c r="B6" s="154" t="s">
        <v>122</v>
      </c>
      <c r="C6" s="154"/>
      <c r="D6" s="155" t="s">
        <v>156</v>
      </c>
      <c r="E6" s="155"/>
      <c r="F6" s="155"/>
      <c r="G6" s="155"/>
      <c r="H6" s="155"/>
      <c r="I6" s="155"/>
    </row>
    <row r="7" customFormat="false" ht="16.5" hidden="false" customHeight="true" outlineLevel="0" collapsed="false">
      <c r="B7" s="154" t="s">
        <v>157</v>
      </c>
      <c r="C7" s="154"/>
      <c r="D7" s="156" t="s">
        <v>158</v>
      </c>
      <c r="E7" s="156"/>
      <c r="F7" s="156"/>
      <c r="G7" s="156"/>
      <c r="H7" s="156"/>
      <c r="I7" s="156"/>
    </row>
    <row r="8" customFormat="false" ht="16.5" hidden="false" customHeight="true" outlineLevel="0" collapsed="false">
      <c r="B8" s="154" t="s">
        <v>159</v>
      </c>
      <c r="C8" s="154"/>
      <c r="D8" s="155" t="s">
        <v>160</v>
      </c>
      <c r="E8" s="155"/>
      <c r="F8" s="155"/>
      <c r="G8" s="155"/>
      <c r="H8" s="155"/>
      <c r="I8" s="155"/>
    </row>
    <row r="9" customFormat="false" ht="16.5" hidden="false" customHeight="true" outlineLevel="0" collapsed="false">
      <c r="B9" s="154" t="s">
        <v>161</v>
      </c>
      <c r="C9" s="154"/>
      <c r="D9" s="155" t="s">
        <v>162</v>
      </c>
      <c r="E9" s="155"/>
      <c r="F9" s="155"/>
      <c r="G9" s="155"/>
      <c r="H9" s="155"/>
      <c r="I9" s="155"/>
    </row>
    <row r="10" customFormat="false" ht="16.5" hidden="false" customHeight="true" outlineLevel="0" collapsed="false">
      <c r="B10" s="154" t="s">
        <v>123</v>
      </c>
      <c r="C10" s="154"/>
      <c r="D10" s="155" t="s">
        <v>127</v>
      </c>
      <c r="E10" s="155"/>
      <c r="F10" s="155"/>
      <c r="G10" s="155"/>
      <c r="H10" s="155"/>
      <c r="I10" s="155"/>
    </row>
    <row r="11" customFormat="false" ht="23.25" hidden="false" customHeight="true" outlineLevel="0" collapsed="false">
      <c r="B11" s="157" t="s">
        <v>163</v>
      </c>
      <c r="C11" s="157"/>
      <c r="D11" s="158" t="n">
        <f aca="false">SUM(I14:I18)</f>
        <v>52.69</v>
      </c>
      <c r="E11" s="158"/>
      <c r="F11" s="158"/>
      <c r="G11" s="158"/>
      <c r="H11" s="158"/>
      <c r="I11" s="158"/>
    </row>
    <row r="12" customFormat="false" ht="15.75" hidden="false" customHeight="true" outlineLevel="0" collapsed="false">
      <c r="B12" s="159"/>
      <c r="C12" s="159"/>
      <c r="D12" s="160"/>
      <c r="E12" s="160"/>
      <c r="F12" s="160"/>
      <c r="G12" s="160"/>
      <c r="H12" s="160"/>
      <c r="I12" s="160"/>
    </row>
    <row r="13" customFormat="false" ht="29.25" hidden="false" customHeight="true" outlineLevel="0" collapsed="false">
      <c r="B13" s="161"/>
      <c r="C13" s="161" t="s">
        <v>164</v>
      </c>
      <c r="D13" s="161" t="s">
        <v>122</v>
      </c>
      <c r="E13" s="161" t="s">
        <v>161</v>
      </c>
      <c r="F13" s="161" t="s">
        <v>123</v>
      </c>
      <c r="G13" s="161" t="s">
        <v>165</v>
      </c>
      <c r="H13" s="161" t="s">
        <v>166</v>
      </c>
      <c r="I13" s="161" t="s">
        <v>165</v>
      </c>
    </row>
    <row r="14" customFormat="false" ht="27.75" hidden="false" customHeight="true" outlineLevel="0" collapsed="false">
      <c r="B14" s="162" t="s">
        <v>167</v>
      </c>
      <c r="C14" s="162" t="s">
        <v>168</v>
      </c>
      <c r="D14" s="163" t="s">
        <v>169</v>
      </c>
      <c r="E14" s="163" t="s">
        <v>162</v>
      </c>
      <c r="F14" s="162" t="s">
        <v>170</v>
      </c>
      <c r="G14" s="164" t="n">
        <v>4.86</v>
      </c>
      <c r="H14" s="164" t="s">
        <v>171</v>
      </c>
      <c r="I14" s="164" t="n">
        <f aca="false">G14*H14</f>
        <v>4.86</v>
      </c>
    </row>
    <row r="15" customFormat="false" ht="27.75" hidden="false" customHeight="true" outlineLevel="0" collapsed="false">
      <c r="B15" s="162" t="s">
        <v>167</v>
      </c>
      <c r="C15" s="162" t="s">
        <v>172</v>
      </c>
      <c r="D15" s="163" t="s">
        <v>173</v>
      </c>
      <c r="E15" s="163" t="s">
        <v>162</v>
      </c>
      <c r="F15" s="162" t="s">
        <v>170</v>
      </c>
      <c r="G15" s="164" t="n">
        <v>1.49</v>
      </c>
      <c r="H15" s="164" t="s">
        <v>171</v>
      </c>
      <c r="I15" s="164" t="n">
        <f aca="false">G15*H15</f>
        <v>1.49</v>
      </c>
    </row>
    <row r="16" customFormat="false" ht="42" hidden="false" customHeight="true" outlineLevel="0" collapsed="false">
      <c r="B16" s="162" t="s">
        <v>167</v>
      </c>
      <c r="C16" s="162" t="s">
        <v>174</v>
      </c>
      <c r="D16" s="163" t="s">
        <v>175</v>
      </c>
      <c r="E16" s="163" t="s">
        <v>162</v>
      </c>
      <c r="F16" s="162" t="s">
        <v>170</v>
      </c>
      <c r="G16" s="164" t="n">
        <v>0.6</v>
      </c>
      <c r="H16" s="164" t="s">
        <v>171</v>
      </c>
      <c r="I16" s="164" t="n">
        <f aca="false">G16*H16</f>
        <v>0.6</v>
      </c>
    </row>
    <row r="17" customFormat="false" ht="27.75" hidden="false" customHeight="true" outlineLevel="0" collapsed="false">
      <c r="B17" s="162" t="s">
        <v>167</v>
      </c>
      <c r="C17" s="162" t="s">
        <v>176</v>
      </c>
      <c r="D17" s="163" t="s">
        <v>177</v>
      </c>
      <c r="E17" s="163" t="s">
        <v>162</v>
      </c>
      <c r="F17" s="162" t="s">
        <v>170</v>
      </c>
      <c r="G17" s="164" t="n">
        <v>6.07</v>
      </c>
      <c r="H17" s="164" t="s">
        <v>171</v>
      </c>
      <c r="I17" s="164" t="n">
        <f aca="false">G17*H17</f>
        <v>6.07</v>
      </c>
    </row>
    <row r="18" customFormat="false" ht="42" hidden="false" customHeight="true" outlineLevel="0" collapsed="false">
      <c r="B18" s="162" t="s">
        <v>167</v>
      </c>
      <c r="C18" s="162" t="s">
        <v>178</v>
      </c>
      <c r="D18" s="163" t="s">
        <v>179</v>
      </c>
      <c r="E18" s="163" t="s">
        <v>162</v>
      </c>
      <c r="F18" s="162" t="s">
        <v>170</v>
      </c>
      <c r="G18" s="164" t="n">
        <v>39.67</v>
      </c>
      <c r="H18" s="164" t="s">
        <v>171</v>
      </c>
      <c r="I18" s="164" t="n">
        <f aca="false">G18*H18</f>
        <v>39.67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52" t="s">
        <v>180</v>
      </c>
      <c r="C20" s="152"/>
      <c r="D20" s="152"/>
      <c r="E20" s="152"/>
      <c r="F20" s="152"/>
      <c r="G20" s="152"/>
      <c r="H20" s="152"/>
      <c r="I20" s="152"/>
    </row>
    <row r="21" customFormat="false" ht="16.5" hidden="false" customHeight="true" outlineLevel="0" collapsed="false">
      <c r="B21" s="157" t="s">
        <v>154</v>
      </c>
      <c r="C21" s="157"/>
      <c r="D21" s="165" t="s">
        <v>181</v>
      </c>
      <c r="E21" s="165"/>
      <c r="F21" s="165"/>
      <c r="G21" s="165"/>
      <c r="H21" s="165"/>
      <c r="I21" s="165"/>
    </row>
    <row r="22" customFormat="false" ht="16.5" hidden="false" customHeight="true" outlineLevel="0" collapsed="false">
      <c r="B22" s="157" t="s">
        <v>122</v>
      </c>
      <c r="C22" s="157"/>
      <c r="D22" s="165" t="s">
        <v>182</v>
      </c>
      <c r="E22" s="165"/>
      <c r="F22" s="165"/>
      <c r="G22" s="165"/>
      <c r="H22" s="165"/>
      <c r="I22" s="165"/>
    </row>
    <row r="23" customFormat="false" ht="16.5" hidden="false" customHeight="true" outlineLevel="0" collapsed="false">
      <c r="B23" s="157" t="s">
        <v>157</v>
      </c>
      <c r="C23" s="157"/>
      <c r="D23" s="166" t="str">
        <f aca="false">D7</f>
        <v>10/2023</v>
      </c>
      <c r="E23" s="166"/>
      <c r="F23" s="166"/>
      <c r="G23" s="166"/>
      <c r="H23" s="166"/>
      <c r="I23" s="166"/>
    </row>
    <row r="24" customFormat="false" ht="16.5" hidden="false" customHeight="true" outlineLevel="0" collapsed="false">
      <c r="B24" s="157" t="s">
        <v>159</v>
      </c>
      <c r="C24" s="157"/>
      <c r="D24" s="165" t="str">
        <f aca="false">D8</f>
        <v>Paraná</v>
      </c>
      <c r="E24" s="165"/>
      <c r="F24" s="165"/>
      <c r="G24" s="165"/>
      <c r="H24" s="165"/>
      <c r="I24" s="165"/>
    </row>
    <row r="25" customFormat="false" ht="16.5" hidden="false" customHeight="true" outlineLevel="0" collapsed="false">
      <c r="B25" s="157" t="s">
        <v>161</v>
      </c>
      <c r="C25" s="157"/>
      <c r="D25" s="165" t="s">
        <v>162</v>
      </c>
      <c r="E25" s="165"/>
      <c r="F25" s="165"/>
      <c r="G25" s="165"/>
      <c r="H25" s="165"/>
      <c r="I25" s="165"/>
    </row>
    <row r="26" customFormat="false" ht="16.5" hidden="false" customHeight="true" outlineLevel="0" collapsed="false">
      <c r="B26" s="157" t="s">
        <v>123</v>
      </c>
      <c r="C26" s="157"/>
      <c r="D26" s="165" t="s">
        <v>129</v>
      </c>
      <c r="E26" s="165"/>
      <c r="F26" s="165"/>
      <c r="G26" s="165"/>
      <c r="H26" s="165"/>
      <c r="I26" s="165"/>
    </row>
    <row r="27" customFormat="false" ht="23.25" hidden="false" customHeight="true" outlineLevel="0" collapsed="false">
      <c r="B27" s="157" t="s">
        <v>163</v>
      </c>
      <c r="C27" s="157"/>
      <c r="D27" s="167" t="n">
        <f aca="false">SUM(I30:I32)</f>
        <v>6.95</v>
      </c>
      <c r="E27" s="167"/>
      <c r="F27" s="167"/>
      <c r="G27" s="167"/>
      <c r="H27" s="167"/>
      <c r="I27" s="167"/>
    </row>
    <row r="28" customFormat="false" ht="15.75" hidden="false" customHeight="true" outlineLevel="0" collapsed="false">
      <c r="B28" s="159"/>
      <c r="C28" s="159"/>
      <c r="D28" s="160"/>
      <c r="E28" s="160"/>
      <c r="F28" s="160"/>
      <c r="G28" s="160"/>
      <c r="H28" s="160"/>
      <c r="I28" s="160"/>
    </row>
    <row r="29" customFormat="false" ht="29.25" hidden="false" customHeight="true" outlineLevel="0" collapsed="false">
      <c r="B29" s="161"/>
      <c r="C29" s="161" t="s">
        <v>164</v>
      </c>
      <c r="D29" s="161" t="s">
        <v>122</v>
      </c>
      <c r="E29" s="161" t="s">
        <v>161</v>
      </c>
      <c r="F29" s="161" t="s">
        <v>123</v>
      </c>
      <c r="G29" s="161" t="s">
        <v>165</v>
      </c>
      <c r="H29" s="161" t="s">
        <v>166</v>
      </c>
      <c r="I29" s="161" t="s">
        <v>165</v>
      </c>
    </row>
    <row r="30" customFormat="false" ht="27.75" hidden="false" customHeight="true" outlineLevel="0" collapsed="false">
      <c r="B30" s="162" t="s">
        <v>167</v>
      </c>
      <c r="C30" s="162" t="s">
        <v>168</v>
      </c>
      <c r="D30" s="163" t="s">
        <v>169</v>
      </c>
      <c r="E30" s="163" t="s">
        <v>162</v>
      </c>
      <c r="F30" s="162" t="s">
        <v>170</v>
      </c>
      <c r="G30" s="164" t="n">
        <f aca="false">G14</f>
        <v>4.86</v>
      </c>
      <c r="H30" s="168" t="s">
        <v>171</v>
      </c>
      <c r="I30" s="164" t="n">
        <f aca="false">G30*H30</f>
        <v>4.86</v>
      </c>
    </row>
    <row r="31" customFormat="false" ht="27.75" hidden="false" customHeight="true" outlineLevel="0" collapsed="false">
      <c r="B31" s="162" t="s">
        <v>167</v>
      </c>
      <c r="C31" s="162" t="s">
        <v>172</v>
      </c>
      <c r="D31" s="163" t="s">
        <v>173</v>
      </c>
      <c r="E31" s="163" t="s">
        <v>162</v>
      </c>
      <c r="F31" s="162" t="s">
        <v>170</v>
      </c>
      <c r="G31" s="164" t="n">
        <f aca="false">G15</f>
        <v>1.49</v>
      </c>
      <c r="H31" s="168" t="s">
        <v>171</v>
      </c>
      <c r="I31" s="164" t="n">
        <f aca="false">G31*H31</f>
        <v>1.49</v>
      </c>
    </row>
    <row r="32" customFormat="false" ht="42" hidden="false" customHeight="true" outlineLevel="0" collapsed="false">
      <c r="B32" s="162" t="s">
        <v>167</v>
      </c>
      <c r="C32" s="162" t="s">
        <v>174</v>
      </c>
      <c r="D32" s="163" t="s">
        <v>175</v>
      </c>
      <c r="E32" s="163" t="s">
        <v>162</v>
      </c>
      <c r="F32" s="162" t="s">
        <v>170</v>
      </c>
      <c r="G32" s="164" t="n">
        <f aca="false">G16</f>
        <v>0.6</v>
      </c>
      <c r="H32" s="168" t="s">
        <v>171</v>
      </c>
      <c r="I32" s="164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86" zoomScaleNormal="86" zoomScalePageLayoutView="100" workbookViewId="0">
      <selection pane="topLeft" activeCell="A1" activeCellId="0" sqref="A1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69" width="5.2"/>
    <col collapsed="false" customWidth="true" hidden="false" outlineLevel="0" max="2" min="2" style="169" width="34.96"/>
    <col collapsed="false" customWidth="true" hidden="false" outlineLevel="0" max="3" min="3" style="169" width="28.85"/>
    <col collapsed="false" customWidth="true" hidden="false" outlineLevel="0" max="4" min="4" style="169" width="15.6"/>
    <col collapsed="false" customWidth="true" hidden="false" outlineLevel="0" max="5" min="5" style="169" width="7.79"/>
    <col collapsed="false" customWidth="false" hidden="false" outlineLevel="0" max="6" min="6" style="169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70" t="s">
        <v>183</v>
      </c>
    </row>
    <row r="3" customFormat="false" ht="15" hidden="false" customHeight="true" outlineLevel="0" collapsed="false">
      <c r="B3" s="171" t="s">
        <v>184</v>
      </c>
      <c r="C3" s="170" t="s">
        <v>185</v>
      </c>
    </row>
    <row r="4" customFormat="false" ht="15" hidden="false" customHeight="true" outlineLevel="0" collapsed="false">
      <c r="B4" s="171" t="s">
        <v>186</v>
      </c>
      <c r="C4" s="172" t="s">
        <v>187</v>
      </c>
    </row>
    <row r="5" customFormat="false" ht="15" hidden="false" customHeight="true" outlineLevel="0" collapsed="false">
      <c r="B5" s="171" t="s">
        <v>188</v>
      </c>
      <c r="C5" s="172" t="n">
        <v>45200</v>
      </c>
    </row>
    <row r="6" customFormat="false" ht="15" hidden="false" customHeight="true" outlineLevel="0" collapsed="false">
      <c r="B6" s="171" t="s">
        <v>189</v>
      </c>
      <c r="C6" s="173" t="n">
        <v>56.25</v>
      </c>
    </row>
    <row r="7" customFormat="false" ht="12.8" hidden="false" customHeight="false" outlineLevel="0" collapsed="false">
      <c r="B7" s="174"/>
      <c r="C7" s="175"/>
    </row>
    <row r="8" customFormat="false" ht="27.75" hidden="false" customHeight="true" outlineLevel="0" collapsed="false">
      <c r="B8" s="176" t="s">
        <v>190</v>
      </c>
      <c r="C8" s="177" t="s">
        <v>191</v>
      </c>
    </row>
    <row r="9" customFormat="false" ht="15" hidden="false" customHeight="true" outlineLevel="0" collapsed="false">
      <c r="B9" s="171" t="s">
        <v>192</v>
      </c>
      <c r="C9" s="178" t="n">
        <v>0.8708</v>
      </c>
    </row>
    <row r="10" customFormat="false" ht="15" hidden="false" customHeight="true" outlineLevel="0" collapsed="false">
      <c r="B10" s="171" t="s">
        <v>193</v>
      </c>
      <c r="C10" s="178" t="n">
        <v>1.17</v>
      </c>
    </row>
    <row r="11" customFormat="false" ht="13.5" hidden="false" customHeight="true" outlineLevel="0" collapsed="false">
      <c r="B11" s="174"/>
      <c r="C11" s="174"/>
    </row>
    <row r="12" customFormat="false" ht="15" hidden="false" customHeight="true" outlineLevel="0" collapsed="false">
      <c r="B12" s="179" t="s">
        <v>194</v>
      </c>
      <c r="C12" s="180"/>
    </row>
    <row r="13" customFormat="false" ht="15" hidden="false" customHeight="true" outlineLevel="0" collapsed="false">
      <c r="B13" s="171" t="s">
        <v>195</v>
      </c>
      <c r="C13" s="181" t="n">
        <f aca="false">C6*(1+C9)</f>
        <v>105.2325</v>
      </c>
      <c r="D13" s="182"/>
      <c r="F13" s="183"/>
    </row>
    <row r="14" customFormat="false" ht="15" hidden="false" customHeight="true" outlineLevel="0" collapsed="false">
      <c r="B14" s="171" t="s">
        <v>196</v>
      </c>
      <c r="C14" s="181" t="n">
        <f aca="false">C6*(1+C10)</f>
        <v>122.0625</v>
      </c>
      <c r="D14" s="182"/>
      <c r="F14" s="183"/>
    </row>
    <row r="16" customFormat="false" ht="32.25" hidden="false" customHeight="true" outlineLevel="0" collapsed="false">
      <c r="B16" s="184" t="s">
        <v>197</v>
      </c>
      <c r="C16" s="184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1AF4B6DB407844954F4A0779E09E62" ma:contentTypeVersion="14" ma:contentTypeDescription="Create a new document." ma:contentTypeScope="" ma:versionID="159453291e5f9f39d5cfcba322a595ea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9ce8221087b193d0e79abf8ef00bb86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CFCFCF-33A5-4F9A-B659-242AEFBF4377}"/>
</file>

<file path=customXml/itemProps2.xml><?xml version="1.0" encoding="utf-8"?>
<ds:datastoreItem xmlns:ds="http://schemas.openxmlformats.org/officeDocument/2006/customXml" ds:itemID="{0A95980B-B0DF-49BB-9E7E-2DB11C0A6B90}"/>
</file>

<file path=customXml/itemProps3.xml><?xml version="1.0" encoding="utf-8"?>
<ds:datastoreItem xmlns:ds="http://schemas.openxmlformats.org/officeDocument/2006/customXml" ds:itemID="{46FBC7B0-C06B-49C1-8B5D-0EB8B07F3445}"/>
</file>

<file path=customXml/itemProps4.xml><?xml version="1.0" encoding="utf-8"?>
<ds:datastoreItem xmlns:ds="http://schemas.openxmlformats.org/officeDocument/2006/customXml" ds:itemID="{4251CF10-3252-4ECC-8054-8A3DBD152AB8}"/>
</file>

<file path=customXml/itemProps5.xml><?xml version="1.0" encoding="utf-8"?>
<ds:datastoreItem xmlns:ds="http://schemas.openxmlformats.org/officeDocument/2006/customXml" ds:itemID="{BEAD914A-EE0A-4D8A-A864-117BA030EEBC}"/>
</file>

<file path=customXml/itemProps6.xml><?xml version="1.0" encoding="utf-8"?>
<ds:datastoreItem xmlns:ds="http://schemas.openxmlformats.org/officeDocument/2006/customXml" ds:itemID="{7238556C-E198-4388-825C-46C41CA975F9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46</cp:revision>
  <dcterms:created xsi:type="dcterms:W3CDTF">2022-02-01T12:05:24Z</dcterms:created>
  <dcterms:modified xsi:type="dcterms:W3CDTF">2023-12-12T11:06:57Z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